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arinestewardshipcouncil.sharepoint.com/sites/outreach/Outreach_TeamDocs/PDT/HoSS &amp; Pathways/Tuna/Tuna newsletter/10. March 25/Final documents/"/>
    </mc:Choice>
  </mc:AlternateContent>
  <xr:revisionPtr revIDLastSave="14" documentId="14_{6D629257-0F05-43CD-8A9B-8663BF0E7EC5}" xr6:coauthVersionLast="47" xr6:coauthVersionMax="47" xr10:uidLastSave="{A9EF80CE-8EA2-4044-9DAC-EA8AB0D9AC10}"/>
  <bookViews>
    <workbookView xWindow="-110" yWindow="-110" windowWidth="19420" windowHeight="10300" firstSheet="1" activeTab="2" xr2:uid="{00000000-000D-0000-FFFF-FFFF00000000}"/>
  </bookViews>
  <sheets>
    <sheet name="UndoSheet" sheetId="8" state="veryHidden" r:id="rId1"/>
    <sheet name="Master table catch from report" sheetId="5" r:id="rId2"/>
    <sheet name="Master table adjusted WCPO" sheetId="7" r:id="rId3"/>
  </sheets>
  <definedNames>
    <definedName name="_xlnm._FilterDatabase" localSheetId="1" hidden="1">'Master table catch from report'!$A$1:$Q$85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5" l="1"/>
  <c r="K8" i="5" s="1"/>
  <c r="C8" i="7"/>
  <c r="D8" i="7"/>
  <c r="E8" i="7"/>
  <c r="F8" i="7"/>
  <c r="G8" i="7"/>
  <c r="H8" i="7"/>
  <c r="I8" i="7"/>
  <c r="L8" i="7"/>
  <c r="M8" i="7"/>
  <c r="N8" i="7"/>
  <c r="O8" i="7"/>
  <c r="P8" i="7"/>
  <c r="Q8" i="7"/>
  <c r="G85" i="5"/>
  <c r="H85" i="5"/>
  <c r="C85" i="7"/>
  <c r="D85" i="7"/>
  <c r="E85" i="7"/>
  <c r="F85" i="7"/>
  <c r="G85" i="7"/>
  <c r="H85" i="7"/>
  <c r="I85" i="7"/>
  <c r="J85" i="7"/>
  <c r="L85" i="7"/>
  <c r="M85" i="7"/>
  <c r="N85" i="7"/>
  <c r="O85" i="7"/>
  <c r="P85" i="7"/>
  <c r="Q85" i="7"/>
  <c r="K85" i="5"/>
  <c r="G78" i="5"/>
  <c r="H77" i="5"/>
  <c r="G77" i="5"/>
  <c r="E77" i="5"/>
  <c r="E66" i="5"/>
  <c r="J63" i="5"/>
  <c r="G63" i="5"/>
  <c r="E63" i="5"/>
  <c r="J62" i="5"/>
  <c r="H62" i="5"/>
  <c r="G49" i="5"/>
  <c r="J49" i="5"/>
  <c r="E49" i="5"/>
  <c r="H47" i="5"/>
  <c r="F46" i="5"/>
  <c r="G42" i="5"/>
  <c r="H41" i="5"/>
  <c r="H39" i="5"/>
  <c r="E38" i="5"/>
  <c r="G53" i="5"/>
  <c r="H53" i="5"/>
  <c r="J24" i="5"/>
  <c r="G24" i="5"/>
  <c r="E24" i="5"/>
  <c r="H23" i="5"/>
  <c r="H29" i="5"/>
  <c r="G7" i="5"/>
  <c r="G7" i="7" s="1"/>
  <c r="J7" i="7"/>
  <c r="G10" i="5"/>
  <c r="E21" i="5"/>
  <c r="E22" i="5"/>
  <c r="H68" i="5"/>
  <c r="J68" i="5"/>
  <c r="E72" i="5"/>
  <c r="G72" i="5"/>
  <c r="J72" i="5"/>
  <c r="J82" i="5"/>
  <c r="H82" i="5"/>
  <c r="C27" i="7"/>
  <c r="D27" i="7"/>
  <c r="E27" i="7"/>
  <c r="F27" i="7"/>
  <c r="G27" i="7"/>
  <c r="H27" i="7"/>
  <c r="I27" i="7"/>
  <c r="J27" i="7"/>
  <c r="L27" i="7"/>
  <c r="M27" i="7"/>
  <c r="N27" i="7"/>
  <c r="O27" i="7"/>
  <c r="P27" i="7"/>
  <c r="Q27" i="7"/>
  <c r="K27" i="5"/>
  <c r="C25" i="7"/>
  <c r="D25" i="7"/>
  <c r="E25" i="7"/>
  <c r="F25" i="7"/>
  <c r="G25" i="7"/>
  <c r="H25" i="7"/>
  <c r="I25" i="7"/>
  <c r="J25" i="7"/>
  <c r="L25" i="7"/>
  <c r="M25" i="7"/>
  <c r="N25" i="7"/>
  <c r="O25" i="7"/>
  <c r="P25" i="7"/>
  <c r="Q25" i="7"/>
  <c r="K25" i="5"/>
  <c r="C43" i="7"/>
  <c r="D43" i="7"/>
  <c r="E43" i="7"/>
  <c r="F43" i="7"/>
  <c r="G43" i="7"/>
  <c r="H43" i="7"/>
  <c r="I43" i="7"/>
  <c r="J43" i="7"/>
  <c r="L43" i="7"/>
  <c r="M43" i="7"/>
  <c r="N43" i="7"/>
  <c r="O43" i="7"/>
  <c r="P43" i="7"/>
  <c r="Q43" i="7"/>
  <c r="K43" i="5"/>
  <c r="C48" i="7"/>
  <c r="D48" i="7"/>
  <c r="E48" i="7"/>
  <c r="F48" i="7"/>
  <c r="G48" i="7"/>
  <c r="H48" i="7"/>
  <c r="I48" i="7"/>
  <c r="J48" i="7"/>
  <c r="L48" i="7"/>
  <c r="M48" i="7"/>
  <c r="N48" i="7"/>
  <c r="O48" i="7"/>
  <c r="P48" i="7"/>
  <c r="Q48" i="7"/>
  <c r="K48" i="5"/>
  <c r="G5" i="7"/>
  <c r="C7" i="7"/>
  <c r="D7" i="7"/>
  <c r="E7" i="7"/>
  <c r="F7" i="7"/>
  <c r="H7" i="7"/>
  <c r="I7" i="7"/>
  <c r="L7" i="7"/>
  <c r="M7" i="7"/>
  <c r="N7" i="7"/>
  <c r="O7" i="7"/>
  <c r="P7" i="7"/>
  <c r="Q7" i="7"/>
  <c r="J8" i="7" l="1"/>
  <c r="K8" i="7" s="1"/>
  <c r="K85" i="7"/>
  <c r="K25" i="7"/>
  <c r="K27" i="7"/>
  <c r="K43" i="7"/>
  <c r="K48" i="7"/>
  <c r="K7" i="5"/>
  <c r="K7" i="7"/>
  <c r="H61" i="7" l="1"/>
  <c r="J61" i="7"/>
  <c r="L61" i="7"/>
  <c r="C73" i="7"/>
  <c r="D73" i="7"/>
  <c r="E73" i="7"/>
  <c r="F73" i="7"/>
  <c r="G73" i="7"/>
  <c r="H73" i="7"/>
  <c r="I73" i="7"/>
  <c r="J73" i="7"/>
  <c r="L73" i="7"/>
  <c r="M73" i="7"/>
  <c r="N73" i="7"/>
  <c r="O73" i="7"/>
  <c r="P73" i="7"/>
  <c r="Q73" i="7"/>
  <c r="K73" i="5"/>
  <c r="K39" i="5"/>
  <c r="E76" i="5"/>
  <c r="E80" i="5"/>
  <c r="C29" i="7"/>
  <c r="C30" i="7"/>
  <c r="D29" i="7"/>
  <c r="D30" i="7"/>
  <c r="E29" i="7"/>
  <c r="E30" i="7"/>
  <c r="F29" i="7"/>
  <c r="F30" i="7"/>
  <c r="G29" i="7"/>
  <c r="G30" i="7"/>
  <c r="H30" i="7"/>
  <c r="I29" i="7"/>
  <c r="I30" i="7"/>
  <c r="J29" i="7"/>
  <c r="J30" i="7"/>
  <c r="L29" i="7"/>
  <c r="L30" i="7"/>
  <c r="M29" i="7"/>
  <c r="M30" i="7"/>
  <c r="N29" i="7"/>
  <c r="N30" i="7"/>
  <c r="O29" i="7"/>
  <c r="O30" i="7"/>
  <c r="P29" i="7"/>
  <c r="P30" i="7"/>
  <c r="Q29" i="7"/>
  <c r="Q30" i="7"/>
  <c r="K28" i="5"/>
  <c r="C28" i="7"/>
  <c r="D28" i="7"/>
  <c r="F28" i="7"/>
  <c r="G28" i="7"/>
  <c r="H28" i="7"/>
  <c r="I28" i="7"/>
  <c r="J28" i="7"/>
  <c r="L28" i="7"/>
  <c r="M28" i="7"/>
  <c r="N28" i="7"/>
  <c r="O28" i="7"/>
  <c r="P28" i="7"/>
  <c r="Q28" i="7"/>
  <c r="H29" i="7"/>
  <c r="K30" i="5"/>
  <c r="C33" i="7"/>
  <c r="D33" i="7"/>
  <c r="E33" i="7"/>
  <c r="F33" i="7"/>
  <c r="G33" i="7"/>
  <c r="H33" i="7"/>
  <c r="I33" i="7"/>
  <c r="J33" i="7"/>
  <c r="L33" i="7"/>
  <c r="M33" i="7"/>
  <c r="N33" i="7"/>
  <c r="O33" i="7"/>
  <c r="P33" i="7"/>
  <c r="Q33" i="7"/>
  <c r="K33" i="5"/>
  <c r="C39" i="7"/>
  <c r="D39" i="7"/>
  <c r="E39" i="7"/>
  <c r="F39" i="7"/>
  <c r="G39" i="7"/>
  <c r="I39" i="7"/>
  <c r="J39" i="7"/>
  <c r="L39" i="7"/>
  <c r="M39" i="7"/>
  <c r="N39" i="7"/>
  <c r="O39" i="7"/>
  <c r="P39" i="7"/>
  <c r="Q39" i="7"/>
  <c r="C83" i="7"/>
  <c r="D83" i="7"/>
  <c r="E83" i="7"/>
  <c r="F83" i="7"/>
  <c r="G83" i="7"/>
  <c r="H83" i="7"/>
  <c r="I83" i="7"/>
  <c r="J83" i="7"/>
  <c r="L83" i="7"/>
  <c r="M83" i="7"/>
  <c r="N83" i="7"/>
  <c r="O83" i="7"/>
  <c r="P83" i="7"/>
  <c r="Q83" i="7"/>
  <c r="K83" i="5"/>
  <c r="H41" i="7"/>
  <c r="K18" i="5"/>
  <c r="K22" i="5"/>
  <c r="C40" i="7"/>
  <c r="D40" i="7"/>
  <c r="E40" i="7"/>
  <c r="F40" i="7"/>
  <c r="G40" i="7"/>
  <c r="H40" i="7"/>
  <c r="I40" i="7"/>
  <c r="J40" i="7"/>
  <c r="L40" i="7"/>
  <c r="M40" i="7"/>
  <c r="N40" i="7"/>
  <c r="O40" i="7"/>
  <c r="P40" i="7"/>
  <c r="Q40" i="7"/>
  <c r="K40" i="5"/>
  <c r="C41" i="7"/>
  <c r="D41" i="7"/>
  <c r="E41" i="7"/>
  <c r="F41" i="7"/>
  <c r="G41" i="7"/>
  <c r="I41" i="7"/>
  <c r="J41" i="7"/>
  <c r="L41" i="7"/>
  <c r="M41" i="7"/>
  <c r="N41" i="7"/>
  <c r="O41" i="7"/>
  <c r="P41" i="7"/>
  <c r="Q41" i="7"/>
  <c r="C18" i="7"/>
  <c r="D18" i="7"/>
  <c r="E18" i="7"/>
  <c r="F18" i="7"/>
  <c r="G18" i="7"/>
  <c r="H18" i="7"/>
  <c r="I18" i="7"/>
  <c r="L18" i="7"/>
  <c r="M18" i="7"/>
  <c r="N18" i="7"/>
  <c r="O18" i="7"/>
  <c r="P18" i="7"/>
  <c r="Q18" i="7"/>
  <c r="I3" i="7"/>
  <c r="I4" i="7"/>
  <c r="I5" i="7"/>
  <c r="I6" i="7"/>
  <c r="I9" i="7"/>
  <c r="I10" i="7"/>
  <c r="I11" i="7"/>
  <c r="I12" i="7"/>
  <c r="I13" i="7"/>
  <c r="I14" i="7"/>
  <c r="I15" i="7"/>
  <c r="I16" i="7"/>
  <c r="I17" i="7"/>
  <c r="I19" i="7"/>
  <c r="I20" i="7"/>
  <c r="I21" i="7"/>
  <c r="I23" i="7"/>
  <c r="I24" i="7"/>
  <c r="I26" i="7"/>
  <c r="I31" i="7"/>
  <c r="I32" i="7"/>
  <c r="I34" i="7"/>
  <c r="I35" i="7"/>
  <c r="I36" i="7"/>
  <c r="I37" i="7"/>
  <c r="I38" i="7"/>
  <c r="I42" i="7"/>
  <c r="I44" i="7"/>
  <c r="I45" i="7"/>
  <c r="I46" i="7"/>
  <c r="I47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4" i="7"/>
  <c r="I75" i="7"/>
  <c r="I76" i="7"/>
  <c r="I77" i="7"/>
  <c r="I78" i="7"/>
  <c r="I79" i="7"/>
  <c r="I80" i="7"/>
  <c r="I81" i="7"/>
  <c r="I82" i="7"/>
  <c r="I84" i="7"/>
  <c r="I2" i="7"/>
  <c r="C22" i="7"/>
  <c r="D22" i="7"/>
  <c r="E22" i="7"/>
  <c r="F22" i="7"/>
  <c r="G22" i="7"/>
  <c r="H22" i="7"/>
  <c r="J22" i="7"/>
  <c r="L22" i="7"/>
  <c r="M22" i="7"/>
  <c r="N22" i="7"/>
  <c r="O22" i="7"/>
  <c r="P22" i="7"/>
  <c r="Q22" i="7"/>
  <c r="C17" i="7"/>
  <c r="D17" i="7"/>
  <c r="E17" i="7"/>
  <c r="F17" i="7"/>
  <c r="G17" i="7"/>
  <c r="H17" i="7"/>
  <c r="J17" i="7"/>
  <c r="L17" i="7"/>
  <c r="M17" i="7"/>
  <c r="N17" i="7"/>
  <c r="O17" i="7"/>
  <c r="P17" i="7"/>
  <c r="Q17" i="7"/>
  <c r="K17" i="5"/>
  <c r="K41" i="5" l="1"/>
  <c r="E28" i="7"/>
  <c r="K28" i="7" s="1"/>
  <c r="K29" i="5"/>
  <c r="K73" i="7"/>
  <c r="K30" i="7"/>
  <c r="H39" i="7"/>
  <c r="K39" i="7" s="1"/>
  <c r="K29" i="7"/>
  <c r="K33" i="7"/>
  <c r="K83" i="7"/>
  <c r="K40" i="7"/>
  <c r="K41" i="7"/>
  <c r="J18" i="7"/>
  <c r="K18" i="7" s="1"/>
  <c r="I22" i="7"/>
  <c r="K22" i="7" s="1"/>
  <c r="K17" i="7"/>
  <c r="C72" i="7"/>
  <c r="D72" i="7"/>
  <c r="F72" i="7"/>
  <c r="H72" i="7"/>
  <c r="L72" i="7"/>
  <c r="M72" i="7"/>
  <c r="N72" i="7"/>
  <c r="O72" i="7"/>
  <c r="P72" i="7"/>
  <c r="Q72" i="7"/>
  <c r="J72" i="7"/>
  <c r="E72" i="7"/>
  <c r="K72" i="5" l="1"/>
  <c r="G72" i="7"/>
  <c r="K72" i="7" s="1"/>
  <c r="L2" i="7" l="1"/>
  <c r="L3" i="7"/>
  <c r="L4" i="7"/>
  <c r="L5" i="7"/>
  <c r="L6" i="7"/>
  <c r="L9" i="7"/>
  <c r="L10" i="7"/>
  <c r="L11" i="7"/>
  <c r="L12" i="7"/>
  <c r="L13" i="7"/>
  <c r="L14" i="7"/>
  <c r="L15" i="7"/>
  <c r="L16" i="7"/>
  <c r="L19" i="7"/>
  <c r="L20" i="7"/>
  <c r="L21" i="7"/>
  <c r="L23" i="7"/>
  <c r="L24" i="7"/>
  <c r="L26" i="7"/>
  <c r="L31" i="7"/>
  <c r="L32" i="7"/>
  <c r="L34" i="7"/>
  <c r="L35" i="7"/>
  <c r="L36" i="7"/>
  <c r="L37" i="7"/>
  <c r="L38" i="7"/>
  <c r="L42" i="7"/>
  <c r="L44" i="7"/>
  <c r="L45" i="7"/>
  <c r="L46" i="7"/>
  <c r="L47" i="7"/>
  <c r="L49" i="7"/>
  <c r="L50" i="7"/>
  <c r="L51" i="7"/>
  <c r="L52" i="7"/>
  <c r="L53" i="7"/>
  <c r="L54" i="7"/>
  <c r="L55" i="7"/>
  <c r="L56" i="7"/>
  <c r="L57" i="7"/>
  <c r="L58" i="7"/>
  <c r="L59" i="7"/>
  <c r="L60" i="7"/>
  <c r="L62" i="7"/>
  <c r="L63" i="7"/>
  <c r="L64" i="7"/>
  <c r="L65" i="7"/>
  <c r="L66" i="7"/>
  <c r="L67" i="7"/>
  <c r="L68" i="7"/>
  <c r="L69" i="7"/>
  <c r="L70" i="7"/>
  <c r="L71" i="7"/>
  <c r="L74" i="7"/>
  <c r="L75" i="7"/>
  <c r="L76" i="7"/>
  <c r="L77" i="7"/>
  <c r="L78" i="7"/>
  <c r="L79" i="7"/>
  <c r="L80" i="7"/>
  <c r="L81" i="7"/>
  <c r="L82" i="7"/>
  <c r="L84" i="7"/>
  <c r="C3" i="7"/>
  <c r="D3" i="7"/>
  <c r="C4" i="7"/>
  <c r="D4" i="7"/>
  <c r="C5" i="7"/>
  <c r="D5" i="7"/>
  <c r="C6" i="7"/>
  <c r="D6" i="7"/>
  <c r="C9" i="7"/>
  <c r="D9" i="7"/>
  <c r="C10" i="7"/>
  <c r="D10" i="7"/>
  <c r="C11" i="7"/>
  <c r="D11" i="7"/>
  <c r="C12" i="7"/>
  <c r="D12" i="7"/>
  <c r="C13" i="7"/>
  <c r="D13" i="7"/>
  <c r="C14" i="7"/>
  <c r="D14" i="7"/>
  <c r="C15" i="7"/>
  <c r="D15" i="7"/>
  <c r="C16" i="7"/>
  <c r="D16" i="7"/>
  <c r="C19" i="7"/>
  <c r="D19" i="7"/>
  <c r="C20" i="7"/>
  <c r="D20" i="7"/>
  <c r="C21" i="7"/>
  <c r="D21" i="7"/>
  <c r="C23" i="7"/>
  <c r="D23" i="7"/>
  <c r="C24" i="7"/>
  <c r="D24" i="7"/>
  <c r="C26" i="7"/>
  <c r="D26" i="7"/>
  <c r="C31" i="7"/>
  <c r="D31" i="7"/>
  <c r="C32" i="7"/>
  <c r="D32" i="7"/>
  <c r="C34" i="7"/>
  <c r="D34" i="7"/>
  <c r="C35" i="7"/>
  <c r="D35" i="7"/>
  <c r="C36" i="7"/>
  <c r="D36" i="7"/>
  <c r="C37" i="7"/>
  <c r="D37" i="7"/>
  <c r="C38" i="7"/>
  <c r="D38" i="7"/>
  <c r="C42" i="7"/>
  <c r="D42" i="7"/>
  <c r="C44" i="7"/>
  <c r="D44" i="7"/>
  <c r="C45" i="7"/>
  <c r="D45" i="7"/>
  <c r="C46" i="7"/>
  <c r="D46" i="7"/>
  <c r="C47" i="7"/>
  <c r="D47" i="7"/>
  <c r="C49" i="7"/>
  <c r="D49" i="7"/>
  <c r="C50" i="7"/>
  <c r="D50" i="7"/>
  <c r="C51" i="7"/>
  <c r="D51" i="7"/>
  <c r="C52" i="7"/>
  <c r="D52" i="7"/>
  <c r="C53" i="7"/>
  <c r="D53" i="7"/>
  <c r="C54" i="7"/>
  <c r="D54" i="7"/>
  <c r="C55" i="7"/>
  <c r="D55" i="7"/>
  <c r="C56" i="7"/>
  <c r="D56" i="7"/>
  <c r="C57" i="7"/>
  <c r="D57" i="7"/>
  <c r="C58" i="7"/>
  <c r="D58" i="7"/>
  <c r="C59" i="7"/>
  <c r="D59" i="7"/>
  <c r="C60" i="7"/>
  <c r="D60" i="7"/>
  <c r="C61" i="7"/>
  <c r="D61" i="7"/>
  <c r="C62" i="7"/>
  <c r="D62" i="7"/>
  <c r="C63" i="7"/>
  <c r="D63" i="7"/>
  <c r="C64" i="7"/>
  <c r="D64" i="7"/>
  <c r="C65" i="7"/>
  <c r="D65" i="7"/>
  <c r="C66" i="7"/>
  <c r="D66" i="7"/>
  <c r="C67" i="7"/>
  <c r="D67" i="7"/>
  <c r="C68" i="7"/>
  <c r="D68" i="7"/>
  <c r="C69" i="7"/>
  <c r="D69" i="7"/>
  <c r="C70" i="7"/>
  <c r="D70" i="7"/>
  <c r="C71" i="7"/>
  <c r="D71" i="7"/>
  <c r="C74" i="7"/>
  <c r="D74" i="7"/>
  <c r="C75" i="7"/>
  <c r="D75" i="7"/>
  <c r="C76" i="7"/>
  <c r="D76" i="7"/>
  <c r="C77" i="7"/>
  <c r="D77" i="7"/>
  <c r="C78" i="7"/>
  <c r="D78" i="7"/>
  <c r="C79" i="7"/>
  <c r="D79" i="7"/>
  <c r="C80" i="7"/>
  <c r="D80" i="7"/>
  <c r="C81" i="7"/>
  <c r="D81" i="7"/>
  <c r="C82" i="7"/>
  <c r="D82" i="7"/>
  <c r="C84" i="7"/>
  <c r="D84" i="7"/>
  <c r="D2" i="7"/>
  <c r="M3" i="7"/>
  <c r="N3" i="7"/>
  <c r="O3" i="7"/>
  <c r="P3" i="7"/>
  <c r="Q3" i="7"/>
  <c r="M4" i="7"/>
  <c r="N4" i="7"/>
  <c r="O4" i="7"/>
  <c r="P4" i="7"/>
  <c r="Q4" i="7"/>
  <c r="M5" i="7"/>
  <c r="N5" i="7"/>
  <c r="O5" i="7"/>
  <c r="P5" i="7"/>
  <c r="Q5" i="7"/>
  <c r="M6" i="7"/>
  <c r="N6" i="7"/>
  <c r="O6" i="7"/>
  <c r="P6" i="7"/>
  <c r="Q6" i="7"/>
  <c r="M9" i="7"/>
  <c r="N9" i="7"/>
  <c r="O9" i="7"/>
  <c r="P9" i="7"/>
  <c r="Q9" i="7"/>
  <c r="M10" i="7"/>
  <c r="N10" i="7"/>
  <c r="O10" i="7"/>
  <c r="P10" i="7"/>
  <c r="Q10" i="7"/>
  <c r="M11" i="7"/>
  <c r="N11" i="7"/>
  <c r="O11" i="7"/>
  <c r="P11" i="7"/>
  <c r="Q11" i="7"/>
  <c r="M12" i="7"/>
  <c r="N12" i="7"/>
  <c r="O12" i="7"/>
  <c r="P12" i="7"/>
  <c r="Q12" i="7"/>
  <c r="M13" i="7"/>
  <c r="N13" i="7"/>
  <c r="O13" i="7"/>
  <c r="P13" i="7"/>
  <c r="Q13" i="7"/>
  <c r="M14" i="7"/>
  <c r="N14" i="7"/>
  <c r="O14" i="7"/>
  <c r="P14" i="7"/>
  <c r="Q14" i="7"/>
  <c r="M15" i="7"/>
  <c r="N15" i="7"/>
  <c r="O15" i="7"/>
  <c r="P15" i="7"/>
  <c r="Q15" i="7"/>
  <c r="M16" i="7"/>
  <c r="N16" i="7"/>
  <c r="O16" i="7"/>
  <c r="P16" i="7"/>
  <c r="Q16" i="7"/>
  <c r="M19" i="7"/>
  <c r="N19" i="7"/>
  <c r="O19" i="7"/>
  <c r="P19" i="7"/>
  <c r="Q19" i="7"/>
  <c r="M20" i="7"/>
  <c r="N20" i="7"/>
  <c r="O20" i="7"/>
  <c r="P20" i="7"/>
  <c r="Q20" i="7"/>
  <c r="M21" i="7"/>
  <c r="N21" i="7"/>
  <c r="O21" i="7"/>
  <c r="P21" i="7"/>
  <c r="Q21" i="7"/>
  <c r="M23" i="7"/>
  <c r="N23" i="7"/>
  <c r="O23" i="7"/>
  <c r="P23" i="7"/>
  <c r="Q23" i="7"/>
  <c r="M24" i="7"/>
  <c r="N24" i="7"/>
  <c r="O24" i="7"/>
  <c r="P24" i="7"/>
  <c r="Q24" i="7"/>
  <c r="M26" i="7"/>
  <c r="N26" i="7"/>
  <c r="O26" i="7"/>
  <c r="P26" i="7"/>
  <c r="Q26" i="7"/>
  <c r="M31" i="7"/>
  <c r="N31" i="7"/>
  <c r="O31" i="7"/>
  <c r="P31" i="7"/>
  <c r="Q31" i="7"/>
  <c r="M32" i="7"/>
  <c r="N32" i="7"/>
  <c r="O32" i="7"/>
  <c r="P32" i="7"/>
  <c r="Q32" i="7"/>
  <c r="M34" i="7"/>
  <c r="N34" i="7"/>
  <c r="O34" i="7"/>
  <c r="P34" i="7"/>
  <c r="Q34" i="7"/>
  <c r="M35" i="7"/>
  <c r="N35" i="7"/>
  <c r="O35" i="7"/>
  <c r="P35" i="7"/>
  <c r="Q35" i="7"/>
  <c r="M36" i="7"/>
  <c r="N36" i="7"/>
  <c r="O36" i="7"/>
  <c r="P36" i="7"/>
  <c r="Q36" i="7"/>
  <c r="M37" i="7"/>
  <c r="N37" i="7"/>
  <c r="O37" i="7"/>
  <c r="P37" i="7"/>
  <c r="Q37" i="7"/>
  <c r="M38" i="7"/>
  <c r="N38" i="7"/>
  <c r="O38" i="7"/>
  <c r="P38" i="7"/>
  <c r="Q38" i="7"/>
  <c r="M42" i="7"/>
  <c r="N42" i="7"/>
  <c r="O42" i="7"/>
  <c r="P42" i="7"/>
  <c r="Q42" i="7"/>
  <c r="M44" i="7"/>
  <c r="N44" i="7"/>
  <c r="O44" i="7"/>
  <c r="P44" i="7"/>
  <c r="Q44" i="7"/>
  <c r="M45" i="7"/>
  <c r="N45" i="7"/>
  <c r="O45" i="7"/>
  <c r="P45" i="7"/>
  <c r="Q45" i="7"/>
  <c r="M46" i="7"/>
  <c r="N46" i="7"/>
  <c r="O46" i="7"/>
  <c r="P46" i="7"/>
  <c r="Q46" i="7"/>
  <c r="M47" i="7"/>
  <c r="N47" i="7"/>
  <c r="O47" i="7"/>
  <c r="P47" i="7"/>
  <c r="Q47" i="7"/>
  <c r="M49" i="7"/>
  <c r="N49" i="7"/>
  <c r="O49" i="7"/>
  <c r="P49" i="7"/>
  <c r="Q49" i="7"/>
  <c r="M50" i="7"/>
  <c r="N50" i="7"/>
  <c r="O50" i="7"/>
  <c r="P50" i="7"/>
  <c r="Q50" i="7"/>
  <c r="M51" i="7"/>
  <c r="N51" i="7"/>
  <c r="O51" i="7"/>
  <c r="P51" i="7"/>
  <c r="Q51" i="7"/>
  <c r="M52" i="7"/>
  <c r="N52" i="7"/>
  <c r="O52" i="7"/>
  <c r="P52" i="7"/>
  <c r="Q52" i="7"/>
  <c r="M53" i="7"/>
  <c r="N53" i="7"/>
  <c r="O53" i="7"/>
  <c r="P53" i="7"/>
  <c r="Q53" i="7"/>
  <c r="M54" i="7"/>
  <c r="N54" i="7"/>
  <c r="O54" i="7"/>
  <c r="P54" i="7"/>
  <c r="Q54" i="7"/>
  <c r="M55" i="7"/>
  <c r="N55" i="7"/>
  <c r="O55" i="7"/>
  <c r="P55" i="7"/>
  <c r="Q55" i="7"/>
  <c r="M56" i="7"/>
  <c r="N56" i="7"/>
  <c r="O56" i="7"/>
  <c r="P56" i="7"/>
  <c r="Q56" i="7"/>
  <c r="M57" i="7"/>
  <c r="N57" i="7"/>
  <c r="O57" i="7"/>
  <c r="P57" i="7"/>
  <c r="Q57" i="7"/>
  <c r="M58" i="7"/>
  <c r="N58" i="7"/>
  <c r="O58" i="7"/>
  <c r="P58" i="7"/>
  <c r="Q58" i="7"/>
  <c r="M59" i="7"/>
  <c r="N59" i="7"/>
  <c r="O59" i="7"/>
  <c r="P59" i="7"/>
  <c r="Q59" i="7"/>
  <c r="M60" i="7"/>
  <c r="N60" i="7"/>
  <c r="O60" i="7"/>
  <c r="P60" i="7"/>
  <c r="Q60" i="7"/>
  <c r="M61" i="7"/>
  <c r="N61" i="7"/>
  <c r="O61" i="7"/>
  <c r="P61" i="7"/>
  <c r="Q61" i="7"/>
  <c r="M62" i="7"/>
  <c r="N62" i="7"/>
  <c r="O62" i="7"/>
  <c r="P62" i="7"/>
  <c r="Q62" i="7"/>
  <c r="M63" i="7"/>
  <c r="N63" i="7"/>
  <c r="O63" i="7"/>
  <c r="P63" i="7"/>
  <c r="Q63" i="7"/>
  <c r="M64" i="7"/>
  <c r="N64" i="7"/>
  <c r="O64" i="7"/>
  <c r="P64" i="7"/>
  <c r="Q64" i="7"/>
  <c r="M65" i="7"/>
  <c r="N65" i="7"/>
  <c r="O65" i="7"/>
  <c r="P65" i="7"/>
  <c r="Q65" i="7"/>
  <c r="M66" i="7"/>
  <c r="N66" i="7"/>
  <c r="O66" i="7"/>
  <c r="P66" i="7"/>
  <c r="Q66" i="7"/>
  <c r="M67" i="7"/>
  <c r="N67" i="7"/>
  <c r="O67" i="7"/>
  <c r="P67" i="7"/>
  <c r="Q67" i="7"/>
  <c r="M68" i="7"/>
  <c r="N68" i="7"/>
  <c r="O68" i="7"/>
  <c r="P68" i="7"/>
  <c r="Q68" i="7"/>
  <c r="M69" i="7"/>
  <c r="N69" i="7"/>
  <c r="O69" i="7"/>
  <c r="P69" i="7"/>
  <c r="Q69" i="7"/>
  <c r="M70" i="7"/>
  <c r="N70" i="7"/>
  <c r="O70" i="7"/>
  <c r="P70" i="7"/>
  <c r="Q70" i="7"/>
  <c r="M71" i="7"/>
  <c r="N71" i="7"/>
  <c r="O71" i="7"/>
  <c r="P71" i="7"/>
  <c r="Q71" i="7"/>
  <c r="M74" i="7"/>
  <c r="N74" i="7"/>
  <c r="O74" i="7"/>
  <c r="P74" i="7"/>
  <c r="Q74" i="7"/>
  <c r="M75" i="7"/>
  <c r="N75" i="7"/>
  <c r="O75" i="7"/>
  <c r="P75" i="7"/>
  <c r="Q75" i="7"/>
  <c r="M76" i="7"/>
  <c r="N76" i="7"/>
  <c r="O76" i="7"/>
  <c r="P76" i="7"/>
  <c r="Q76" i="7"/>
  <c r="M77" i="7"/>
  <c r="N77" i="7"/>
  <c r="O77" i="7"/>
  <c r="P77" i="7"/>
  <c r="Q77" i="7"/>
  <c r="M78" i="7"/>
  <c r="N78" i="7"/>
  <c r="O78" i="7"/>
  <c r="P78" i="7"/>
  <c r="Q78" i="7"/>
  <c r="M79" i="7"/>
  <c r="N79" i="7"/>
  <c r="O79" i="7"/>
  <c r="P79" i="7"/>
  <c r="Q79" i="7"/>
  <c r="M80" i="7"/>
  <c r="N80" i="7"/>
  <c r="O80" i="7"/>
  <c r="P80" i="7"/>
  <c r="Q80" i="7"/>
  <c r="M81" i="7"/>
  <c r="N81" i="7"/>
  <c r="O81" i="7"/>
  <c r="P81" i="7"/>
  <c r="Q81" i="7"/>
  <c r="M82" i="7"/>
  <c r="N82" i="7"/>
  <c r="O82" i="7"/>
  <c r="P82" i="7"/>
  <c r="Q82" i="7"/>
  <c r="M84" i="7"/>
  <c r="N84" i="7"/>
  <c r="O84" i="7"/>
  <c r="P84" i="7"/>
  <c r="Q84" i="7"/>
  <c r="M2" i="7"/>
  <c r="N2" i="7"/>
  <c r="O2" i="7"/>
  <c r="P2" i="7"/>
  <c r="Q2" i="7"/>
  <c r="C2" i="7"/>
  <c r="F84" i="7"/>
  <c r="G84" i="7"/>
  <c r="H84" i="7"/>
  <c r="J84" i="7"/>
  <c r="E84" i="7"/>
  <c r="E79" i="7"/>
  <c r="F79" i="7"/>
  <c r="G79" i="7"/>
  <c r="H79" i="7"/>
  <c r="J79" i="7"/>
  <c r="E80" i="7"/>
  <c r="F80" i="7"/>
  <c r="G80" i="7"/>
  <c r="H80" i="7"/>
  <c r="J80" i="7"/>
  <c r="E81" i="7"/>
  <c r="F81" i="7"/>
  <c r="G81" i="7"/>
  <c r="H81" i="7"/>
  <c r="J81" i="7"/>
  <c r="E63" i="7"/>
  <c r="F63" i="7"/>
  <c r="G63" i="7"/>
  <c r="H63" i="7"/>
  <c r="J63" i="7"/>
  <c r="E64" i="7"/>
  <c r="F64" i="7"/>
  <c r="G64" i="7"/>
  <c r="H64" i="7"/>
  <c r="J64" i="7"/>
  <c r="E65" i="7"/>
  <c r="F65" i="7"/>
  <c r="G65" i="7"/>
  <c r="H65" i="7"/>
  <c r="J65" i="7"/>
  <c r="E66" i="7"/>
  <c r="F66" i="7"/>
  <c r="G66" i="7"/>
  <c r="H66" i="7"/>
  <c r="J66" i="7"/>
  <c r="E67" i="7"/>
  <c r="F67" i="7"/>
  <c r="G67" i="7"/>
  <c r="H67" i="7"/>
  <c r="J67" i="7"/>
  <c r="E68" i="7"/>
  <c r="F68" i="7"/>
  <c r="G68" i="7"/>
  <c r="H68" i="7"/>
  <c r="J68" i="7"/>
  <c r="E69" i="7"/>
  <c r="F69" i="7"/>
  <c r="G69" i="7"/>
  <c r="H69" i="7"/>
  <c r="J69" i="7"/>
  <c r="E70" i="7"/>
  <c r="F70" i="7"/>
  <c r="G70" i="7"/>
  <c r="H70" i="7"/>
  <c r="J70" i="7"/>
  <c r="E71" i="7"/>
  <c r="F71" i="7"/>
  <c r="G71" i="7"/>
  <c r="H71" i="7"/>
  <c r="J71" i="7"/>
  <c r="E74" i="7"/>
  <c r="F74" i="7"/>
  <c r="G74" i="7"/>
  <c r="H74" i="7"/>
  <c r="J74" i="7"/>
  <c r="E75" i="7"/>
  <c r="F75" i="7"/>
  <c r="G75" i="7"/>
  <c r="H75" i="7"/>
  <c r="J75" i="7"/>
  <c r="E76" i="7"/>
  <c r="F76" i="7"/>
  <c r="G76" i="7"/>
  <c r="H76" i="7"/>
  <c r="J76" i="7"/>
  <c r="E77" i="7"/>
  <c r="F77" i="7"/>
  <c r="G77" i="7"/>
  <c r="H77" i="7"/>
  <c r="J77" i="7"/>
  <c r="E56" i="7"/>
  <c r="F56" i="7"/>
  <c r="G56" i="7"/>
  <c r="H56" i="7"/>
  <c r="J56" i="7"/>
  <c r="E57" i="7"/>
  <c r="F57" i="7"/>
  <c r="G57" i="7"/>
  <c r="H57" i="7"/>
  <c r="J57" i="7"/>
  <c r="E58" i="7"/>
  <c r="F58" i="7"/>
  <c r="G58" i="7"/>
  <c r="H58" i="7"/>
  <c r="J58" i="7"/>
  <c r="E59" i="7"/>
  <c r="F59" i="7"/>
  <c r="G59" i="7"/>
  <c r="H59" i="7"/>
  <c r="J59" i="7"/>
  <c r="F55" i="7"/>
  <c r="G55" i="7"/>
  <c r="H55" i="7"/>
  <c r="J55" i="7"/>
  <c r="E55" i="7"/>
  <c r="E3" i="7"/>
  <c r="F3" i="7"/>
  <c r="G3" i="7"/>
  <c r="H3" i="7"/>
  <c r="J3" i="7"/>
  <c r="E4" i="7"/>
  <c r="F4" i="7"/>
  <c r="G4" i="7"/>
  <c r="H4" i="7"/>
  <c r="J4" i="7"/>
  <c r="E5" i="7"/>
  <c r="F5" i="7"/>
  <c r="H5" i="7"/>
  <c r="J5" i="7"/>
  <c r="E6" i="7"/>
  <c r="F6" i="7"/>
  <c r="G6" i="7"/>
  <c r="H6" i="7"/>
  <c r="J6" i="7"/>
  <c r="E9" i="7"/>
  <c r="F9" i="7"/>
  <c r="G9" i="7"/>
  <c r="H9" i="7"/>
  <c r="J9" i="7"/>
  <c r="E10" i="7"/>
  <c r="F10" i="7"/>
  <c r="G10" i="7"/>
  <c r="H10" i="7"/>
  <c r="J10" i="7"/>
  <c r="E11" i="7"/>
  <c r="F11" i="7"/>
  <c r="G11" i="7"/>
  <c r="H11" i="7"/>
  <c r="J11" i="7"/>
  <c r="E12" i="7"/>
  <c r="F12" i="7"/>
  <c r="G12" i="7"/>
  <c r="H12" i="7"/>
  <c r="J12" i="7"/>
  <c r="E13" i="7"/>
  <c r="F13" i="7"/>
  <c r="G13" i="7"/>
  <c r="H13" i="7"/>
  <c r="J13" i="7"/>
  <c r="E14" i="7"/>
  <c r="F14" i="7"/>
  <c r="G14" i="7"/>
  <c r="H14" i="7"/>
  <c r="J14" i="7"/>
  <c r="E15" i="7"/>
  <c r="F15" i="7"/>
  <c r="G15" i="7"/>
  <c r="H15" i="7"/>
  <c r="J15" i="7"/>
  <c r="E16" i="7"/>
  <c r="F16" i="7"/>
  <c r="G16" i="7"/>
  <c r="H16" i="7"/>
  <c r="J16" i="7"/>
  <c r="E19" i="7"/>
  <c r="F19" i="7"/>
  <c r="G19" i="7"/>
  <c r="H19" i="7"/>
  <c r="J19" i="7"/>
  <c r="E20" i="7"/>
  <c r="F20" i="7"/>
  <c r="G20" i="7"/>
  <c r="H20" i="7"/>
  <c r="J20" i="7"/>
  <c r="E21" i="7"/>
  <c r="F21" i="7"/>
  <c r="G21" i="7"/>
  <c r="H21" i="7"/>
  <c r="J21" i="7"/>
  <c r="E23" i="7"/>
  <c r="F23" i="7"/>
  <c r="G23" i="7"/>
  <c r="H23" i="7"/>
  <c r="J23" i="7"/>
  <c r="E24" i="7"/>
  <c r="F24" i="7"/>
  <c r="G24" i="7"/>
  <c r="H24" i="7"/>
  <c r="J24" i="7"/>
  <c r="E26" i="7"/>
  <c r="F26" i="7"/>
  <c r="G26" i="7"/>
  <c r="H26" i="7"/>
  <c r="J26" i="7"/>
  <c r="E31" i="7"/>
  <c r="F31" i="7"/>
  <c r="G31" i="7"/>
  <c r="H31" i="7"/>
  <c r="J31" i="7"/>
  <c r="E32" i="7"/>
  <c r="F32" i="7"/>
  <c r="G32" i="7"/>
  <c r="H32" i="7"/>
  <c r="J32" i="7"/>
  <c r="E34" i="7"/>
  <c r="F34" i="7"/>
  <c r="G34" i="7"/>
  <c r="H34" i="7"/>
  <c r="J34" i="7"/>
  <c r="E35" i="7"/>
  <c r="F35" i="7"/>
  <c r="G35" i="7"/>
  <c r="H35" i="7"/>
  <c r="J35" i="7"/>
  <c r="E36" i="7"/>
  <c r="F36" i="7"/>
  <c r="G36" i="7"/>
  <c r="H36" i="7"/>
  <c r="J36" i="7"/>
  <c r="E37" i="7"/>
  <c r="F37" i="7"/>
  <c r="G37" i="7"/>
  <c r="H37" i="7"/>
  <c r="J37" i="7"/>
  <c r="E38" i="7"/>
  <c r="F38" i="7"/>
  <c r="G38" i="7"/>
  <c r="H38" i="7"/>
  <c r="J38" i="7"/>
  <c r="E42" i="7"/>
  <c r="F42" i="7"/>
  <c r="G42" i="7"/>
  <c r="H42" i="7"/>
  <c r="J42" i="7"/>
  <c r="E44" i="7"/>
  <c r="F44" i="7"/>
  <c r="G44" i="7"/>
  <c r="H44" i="7"/>
  <c r="J44" i="7"/>
  <c r="E45" i="7"/>
  <c r="F45" i="7"/>
  <c r="G45" i="7"/>
  <c r="H45" i="7"/>
  <c r="J45" i="7"/>
  <c r="E46" i="7"/>
  <c r="F46" i="7"/>
  <c r="G46" i="7"/>
  <c r="H46" i="7"/>
  <c r="J46" i="7"/>
  <c r="E47" i="7"/>
  <c r="F47" i="7"/>
  <c r="G47" i="7"/>
  <c r="H47" i="7"/>
  <c r="J47" i="7"/>
  <c r="E49" i="7"/>
  <c r="F49" i="7"/>
  <c r="G49" i="7"/>
  <c r="H49" i="7"/>
  <c r="J49" i="7"/>
  <c r="E50" i="7"/>
  <c r="F50" i="7"/>
  <c r="G50" i="7"/>
  <c r="H50" i="7"/>
  <c r="J50" i="7"/>
  <c r="E51" i="7"/>
  <c r="F51" i="7"/>
  <c r="G51" i="7"/>
  <c r="H51" i="7"/>
  <c r="J51" i="7"/>
  <c r="E52" i="7"/>
  <c r="F52" i="7"/>
  <c r="G52" i="7"/>
  <c r="H52" i="7"/>
  <c r="J52" i="7"/>
  <c r="F2" i="7"/>
  <c r="G2" i="7"/>
  <c r="H2" i="7"/>
  <c r="J2" i="7"/>
  <c r="E2" i="7"/>
  <c r="G78" i="7" l="1"/>
  <c r="G82" i="7"/>
  <c r="J78" i="7"/>
  <c r="H78" i="7"/>
  <c r="H62" i="7"/>
  <c r="J62" i="7"/>
  <c r="G62" i="7"/>
  <c r="H54" i="7"/>
  <c r="J54" i="7"/>
  <c r="G54" i="7"/>
  <c r="H53" i="7"/>
  <c r="J53" i="7"/>
  <c r="G53" i="7"/>
  <c r="K84" i="7"/>
  <c r="K81" i="7"/>
  <c r="K80" i="7"/>
  <c r="K79" i="7"/>
  <c r="K77" i="7"/>
  <c r="K76" i="7"/>
  <c r="K75" i="7"/>
  <c r="K74" i="7"/>
  <c r="K71" i="7"/>
  <c r="K70" i="7"/>
  <c r="K69" i="7"/>
  <c r="K68" i="7"/>
  <c r="K67" i="7"/>
  <c r="K66" i="7"/>
  <c r="K65" i="7"/>
  <c r="K64" i="7"/>
  <c r="K63" i="7"/>
  <c r="K60" i="7"/>
  <c r="K59" i="7"/>
  <c r="K58" i="7"/>
  <c r="K57" i="7"/>
  <c r="K56" i="7"/>
  <c r="K55" i="7"/>
  <c r="K52" i="7"/>
  <c r="K51" i="7"/>
  <c r="K50" i="7"/>
  <c r="K49" i="7"/>
  <c r="K47" i="7"/>
  <c r="K46" i="7"/>
  <c r="K45" i="7"/>
  <c r="K44" i="7"/>
  <c r="K42" i="7"/>
  <c r="K38" i="7"/>
  <c r="K37" i="7"/>
  <c r="K36" i="7"/>
  <c r="K35" i="7"/>
  <c r="K34" i="7"/>
  <c r="K32" i="7"/>
  <c r="K31" i="7"/>
  <c r="K26" i="7"/>
  <c r="K24" i="7"/>
  <c r="K23" i="7"/>
  <c r="K21" i="7"/>
  <c r="K20" i="7"/>
  <c r="K19" i="7"/>
  <c r="K16" i="7"/>
  <c r="K15" i="7"/>
  <c r="K14" i="7"/>
  <c r="K13" i="7"/>
  <c r="K12" i="7"/>
  <c r="K11" i="7"/>
  <c r="K10" i="7"/>
  <c r="K9" i="7"/>
  <c r="K6" i="7"/>
  <c r="K5" i="7"/>
  <c r="K4" i="7"/>
  <c r="K3" i="7"/>
  <c r="K2" i="7"/>
  <c r="K56" i="5"/>
  <c r="J82" i="7"/>
  <c r="H82" i="7"/>
  <c r="K70" i="5"/>
  <c r="K62" i="7" l="1"/>
  <c r="K53" i="7"/>
  <c r="K78" i="7"/>
  <c r="K54" i="7"/>
  <c r="K82" i="7"/>
  <c r="K61" i="7"/>
  <c r="K3" i="5"/>
  <c r="K4" i="5"/>
  <c r="K5" i="5"/>
  <c r="K6" i="5"/>
  <c r="K9" i="5"/>
  <c r="K10" i="5"/>
  <c r="K11" i="5"/>
  <c r="K12" i="5"/>
  <c r="K13" i="5"/>
  <c r="K14" i="5"/>
  <c r="K15" i="5"/>
  <c r="K16" i="5"/>
  <c r="K19" i="5"/>
  <c r="K20" i="5"/>
  <c r="K21" i="5"/>
  <c r="K23" i="5"/>
  <c r="K24" i="5"/>
  <c r="K26" i="5"/>
  <c r="K31" i="5"/>
  <c r="K32" i="5"/>
  <c r="K34" i="5"/>
  <c r="K35" i="5"/>
  <c r="K36" i="5"/>
  <c r="K37" i="5"/>
  <c r="K38" i="5"/>
  <c r="K42" i="5"/>
  <c r="K44" i="5"/>
  <c r="K45" i="5"/>
  <c r="K46" i="5"/>
  <c r="K47" i="5"/>
  <c r="K49" i="5"/>
  <c r="K50" i="5"/>
  <c r="K51" i="5"/>
  <c r="K52" i="5"/>
  <c r="K53" i="5"/>
  <c r="K54" i="5"/>
  <c r="K55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1" i="5"/>
  <c r="K74" i="5"/>
  <c r="K75" i="5"/>
  <c r="K76" i="5"/>
  <c r="K77" i="5"/>
  <c r="K78" i="5"/>
  <c r="K79" i="5"/>
  <c r="K80" i="5"/>
  <c r="K81" i="5"/>
  <c r="K82" i="5"/>
  <c r="K84" i="5"/>
  <c r="K2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McLeod</author>
  </authors>
  <commentList>
    <comment ref="N59" authorId="0" shapeId="0" xr:uid="{F57C7C31-AD11-4436-A119-693AD0662766}">
      <text>
        <r>
          <rPr>
            <b/>
            <sz val="9"/>
            <color indexed="81"/>
            <rFont val="Tahoma"/>
            <family val="2"/>
          </rPr>
          <t>John McLeod:</t>
        </r>
        <r>
          <rPr>
            <sz val="9"/>
            <color indexed="81"/>
            <rFont val="Tahoma"/>
            <family val="2"/>
          </rPr>
          <t xml:space="preserve">
Client country, MSC reporting country not yet known (hasn't appeared in Fishery Super Table)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McLeod</author>
  </authors>
  <commentList>
    <comment ref="N59" authorId="0" shapeId="0" xr:uid="{994C3DF8-0B85-46B3-B262-642491A3F8FA}">
      <text>
        <r>
          <rPr>
            <b/>
            <sz val="9"/>
            <color indexed="81"/>
            <rFont val="Tahoma"/>
            <family val="2"/>
          </rPr>
          <t>John McLeod:</t>
        </r>
        <r>
          <rPr>
            <sz val="9"/>
            <color indexed="81"/>
            <rFont val="Tahoma"/>
            <family val="2"/>
          </rPr>
          <t xml:space="preserve">
Client country, MSC reporting country not yet known (hasn't appeared in Fishery Super Table)</t>
        </r>
      </text>
    </comment>
  </commentList>
</comments>
</file>

<file path=xl/sharedStrings.xml><?xml version="1.0" encoding="utf-8"?>
<sst xmlns="http://schemas.openxmlformats.org/spreadsheetml/2006/main" count="794" uniqueCount="325">
  <si>
    <t>Fishery name</t>
  </si>
  <si>
    <t>Certification status</t>
  </si>
  <si>
    <t>Gear type(s)</t>
  </si>
  <si>
    <t>Total volume</t>
  </si>
  <si>
    <t>Country</t>
  </si>
  <si>
    <t>Location FAO Region</t>
  </si>
  <si>
    <t>Latitude</t>
  </si>
  <si>
    <t>Longitude</t>
  </si>
  <si>
    <t>AAFA and WFOA North Pacific albacore tuna</t>
  </si>
  <si>
    <t>Certified</t>
  </si>
  <si>
    <t>Hooks And Lines - Trolling lines</t>
  </si>
  <si>
    <t>United States</t>
  </si>
  <si>
    <t>67 (Pacific, Northeast), 77 (Pacific, Eastern Central)</t>
  </si>
  <si>
    <t>AAFA and WFOA South Pacific albacore tuna</t>
  </si>
  <si>
    <t>77 (Pacific, Eastern Central), 81 (Pacific, Southwest)</t>
  </si>
  <si>
    <t>Hooks And Lines - Handlines and pole-lines (hand-operated)</t>
  </si>
  <si>
    <t>AGAC four oceans Integral Purse Seine Tropical Tuna Fishery</t>
  </si>
  <si>
    <t>In Assessment</t>
  </si>
  <si>
    <t>Surrounding Nets - With purse lines (purse seines)</t>
  </si>
  <si>
    <t>Spain</t>
  </si>
  <si>
    <t>71 (Pacific, Western Central)</t>
  </si>
  <si>
    <t>77 (Pacific, Eastern Central), 87 (Pacific, Southeast)</t>
  </si>
  <si>
    <t>51 (Indian Ocean, Western), 57 (Indian Ocean, Eastern)</t>
  </si>
  <si>
    <t>31 (Atlantic, Western Central), 34 (Atlantic, Eastern Central), 41 (Atlantic, Southwest), 47 (Atlantic, Southeast)</t>
  </si>
  <si>
    <t>Hooks And Lines - Longlines</t>
  </si>
  <si>
    <t>American Samoa</t>
  </si>
  <si>
    <t>81 (Pacific, Southwest)</t>
  </si>
  <si>
    <t>ANABAC Atlantic unassociated purse seine yellowfin tuna</t>
  </si>
  <si>
    <t>34 (Atlantic, Eastern Central), 47 (Atlantic, Southeast)</t>
  </si>
  <si>
    <t>Australia Eastern Tuna and Billfish Fishery (albacore tuna, yellowfin tuna, bigeye tuna and swordfish)</t>
  </si>
  <si>
    <t>Australia</t>
  </si>
  <si>
    <t>Canada Highly Migratory Species Foundation (CHMSF) British Columbia Albacore Tuna North Pacific</t>
  </si>
  <si>
    <t>Canada</t>
  </si>
  <si>
    <t>67 (Pacific, Northeast)</t>
  </si>
  <si>
    <t>CFTO Indian Ocean Purse Seine Skipjack fishery</t>
  </si>
  <si>
    <t>France</t>
  </si>
  <si>
    <t>Eastern Pacific Ocean tropical tuna - purse seine (TUNACONS) fishery</t>
  </si>
  <si>
    <t>Ecuador, Panama, United States</t>
  </si>
  <si>
    <t>Ecuador</t>
  </si>
  <si>
    <t>67 (Pacific, Northeast), 77 (Pacific, Eastern Central), 81 (Pacific, Southwest), 87 (Pacific, Southeast)</t>
  </si>
  <si>
    <t>Fiji Albacore, Yellowfin and Bigeye Tuna longline</t>
  </si>
  <si>
    <t>Fiji</t>
  </si>
  <si>
    <t>71 (Pacific, Western Central), 77 (Pacific, Eastern Central)</t>
  </si>
  <si>
    <t>French Polynesia</t>
  </si>
  <si>
    <t>SZLC CSFC &amp; FZLC FSM EEZ Longline Yellowfin and Bigeye Tuna</t>
  </si>
  <si>
    <t>Hawaii longline swordfish, bigeye and yellowfin tuna fishery</t>
  </si>
  <si>
    <t>Hooks And Lines - Set longlines</t>
  </si>
  <si>
    <t>77 (Pacific, Eastern Central)</t>
  </si>
  <si>
    <t>Indonesia pole-and-line and handline, skipjack and yellowfin tuna of Western and Central Pacific archipelagic waters</t>
  </si>
  <si>
    <t>Indonesia</t>
  </si>
  <si>
    <t>Japan</t>
  </si>
  <si>
    <t>61 (Pacific, Northwest), 71 (Pacific, Western Central)</t>
  </si>
  <si>
    <t>Japanese Pole and Line skipjack and albacore tuna fishery</t>
  </si>
  <si>
    <t>JC Mackintosh´s Greenstick, handline and fishing rod bluefin tuna fishery</t>
  </si>
  <si>
    <t>Hooks And Lines - Handlines and pole-lines (mechanized): Greenstick, Hooks And Lines: trolling, live bait hand line, and hand line with stone (deeper waters)</t>
  </si>
  <si>
    <t>27 (Atlantic, Northeast), 37 (Mediterranean and Black Sea)</t>
  </si>
  <si>
    <t>Kiribati</t>
  </si>
  <si>
    <t>Kochi and Miyazaki Offshore Pole and Line Albacore and Skipjack fishery</t>
  </si>
  <si>
    <t>Maldives pole &amp; line skipjack tuna</t>
  </si>
  <si>
    <t>South Africa</t>
  </si>
  <si>
    <t>51 (Indian Ocean, Western)</t>
  </si>
  <si>
    <t>Micronesia Skipjack, Yellowfin and Bigeye Tuna Purse Seine Fishery</t>
  </si>
  <si>
    <t>Micronesia</t>
  </si>
  <si>
    <t>Nauru Skipjack, Yellowfin, and Bigeye Tuna Purse Seine Fishery</t>
  </si>
  <si>
    <t>Taiwan</t>
  </si>
  <si>
    <t>New Zealand albacore tuna troll</t>
  </si>
  <si>
    <t>New Zealand</t>
  </si>
  <si>
    <t>Solomon Islands skipjack and yellowfin tuna purse seine and pole and line</t>
  </si>
  <si>
    <t>Hooks And Lines - Handlines and pole-lines (hand-operated), Surrounding Nets - With purse lines (purse seines)</t>
  </si>
  <si>
    <t>Solomon Islands</t>
  </si>
  <si>
    <t>North Atlantic albacore artisanal fishery</t>
  </si>
  <si>
    <t>Hooks And Lines - Handlines and pole-lines (mechanized), Hooks And Lines - Trolling lines</t>
  </si>
  <si>
    <t>27 (Atlantic, Northeast)</t>
  </si>
  <si>
    <t>Owasebussan Co. Ltd. North Pacific Longline Fishery for Albacore, Yellowfin, &amp; Bigeye Tuna</t>
  </si>
  <si>
    <t>61 (Pacific, Northwest), 77 (Pacific, Eastern Central)</t>
  </si>
  <si>
    <t>South Korea</t>
  </si>
  <si>
    <t>71 (Pacific, Western Central), 77 (Pacific, Eastern Central), 81 (Pacific, Southwest)</t>
  </si>
  <si>
    <t>Panama</t>
  </si>
  <si>
    <t>Philippine Small-Scale Yellowfin Tuna (Thunnus albacares) Handline Fishery</t>
  </si>
  <si>
    <t>Philippines</t>
  </si>
  <si>
    <t>Marshall Islands</t>
  </si>
  <si>
    <t>PNG Fishing Industry Association’s purse seine Skipjack &amp; Yellowfin Tuna Fishery</t>
  </si>
  <si>
    <t>Papua New Guinea</t>
  </si>
  <si>
    <t>SATHOAN French Mediterranean Bluefin tuna artisanal longline and handline fishery</t>
  </si>
  <si>
    <t>Hooks And Lines - Longlines: Pelagic longline, handline and pole-lines are also used</t>
  </si>
  <si>
    <t>37 (Mediterranean and Black Sea)</t>
  </si>
  <si>
    <t>SZLC, CSFC &amp; FZLC Cook Islands EEZ South Pacific albacore, yellowfin and bigeye longline</t>
  </si>
  <si>
    <t>Cook Islands</t>
  </si>
  <si>
    <t>Tri Marine Atlantic Albacore longline fishery</t>
  </si>
  <si>
    <t>Hooks And Lines - Drifting longlines</t>
  </si>
  <si>
    <t>China</t>
  </si>
  <si>
    <t>Surrounding Nets - With purse lines (purse seines) - one boat operated purse seines</t>
  </si>
  <si>
    <t>US North Atlantic swordfish, yellowfin, and albacore tuna fishery</t>
  </si>
  <si>
    <t>21 (Atlantic, Northwest), 31 (Atlantic, Western Central)</t>
  </si>
  <si>
    <t>US Pacific Tuna Group Purse Seine FSC and FAD Set Fishery</t>
  </si>
  <si>
    <t>Usufuku Honten Northeast Atlantic longline bluefin tuna fishery</t>
  </si>
  <si>
    <t>Hooks And Lines - Longlines: Pelagic longline</t>
  </si>
  <si>
    <t>WPSTA Western and Central Pacific Skipjack and Yellowfin Purse Seine Fishery</t>
  </si>
  <si>
    <t>21 (Atlantic, Northwest), 27 (Atlantic, Northeast), 31 (Atlantic, Western Central), 34 (Atlantic, Eastern Central), 41 (Atlantic, Southwest), 47 (Atlantic, Southeast)</t>
  </si>
  <si>
    <t>Senegal</t>
  </si>
  <si>
    <t>34 (Atlantic, Eastern Central)</t>
  </si>
  <si>
    <t>Maldives</t>
  </si>
  <si>
    <t>SI WCPO skipjack and yellowfin tuna purse seine fishery</t>
  </si>
  <si>
    <t>47 (Atlantic, Southeast)</t>
  </si>
  <si>
    <t>Fi-0000000003</t>
  </si>
  <si>
    <t>Fi-0000000004</t>
  </si>
  <si>
    <t>Fi-0000000804</t>
  </si>
  <si>
    <t>Fi-0000000599</t>
  </si>
  <si>
    <t>Fi-0000000791</t>
  </si>
  <si>
    <t>Fi-0000000441</t>
  </si>
  <si>
    <t>Fi-0000000029</t>
  </si>
  <si>
    <t>Fi-0000000761</t>
  </si>
  <si>
    <t>Fi-0000000816</t>
  </si>
  <si>
    <t>Fi-0000000826</t>
  </si>
  <si>
    <t>Fi-0000000288</t>
  </si>
  <si>
    <t>Fi-0000000600</t>
  </si>
  <si>
    <t>Fi-0000000645</t>
  </si>
  <si>
    <t>Fi-0000000773</t>
  </si>
  <si>
    <t>Fi-0000000535</t>
  </si>
  <si>
    <t>Fi-0000000714</t>
  </si>
  <si>
    <t>Fi-0000000792</t>
  </si>
  <si>
    <t>Fi-0000000071</t>
  </si>
  <si>
    <t>Fi-0000000799</t>
  </si>
  <si>
    <t>Fi-0000000074</t>
  </si>
  <si>
    <t>Fi-0000000526</t>
  </si>
  <si>
    <t>Fi-0000000483</t>
  </si>
  <si>
    <t>Fi-0000000770</t>
  </si>
  <si>
    <t>Fi-0000000666</t>
  </si>
  <si>
    <t>Fi-0000000814</t>
  </si>
  <si>
    <t>Fi-0000000197</t>
  </si>
  <si>
    <t>Fi-0000000722</t>
  </si>
  <si>
    <t>Fi-0000000696</t>
  </si>
  <si>
    <t>Fi-0000000702</t>
  </si>
  <si>
    <t>Fi-0000000414</t>
  </si>
  <si>
    <t>Fi-0000000501</t>
  </si>
  <si>
    <t>Fi-0000000665</t>
  </si>
  <si>
    <t>Fi-0000000350</t>
  </si>
  <si>
    <t>Fi-0000000686</t>
  </si>
  <si>
    <t>Fi-0000000621</t>
  </si>
  <si>
    <t>Fishery ID</t>
  </si>
  <si>
    <t>Fi-0000000882</t>
  </si>
  <si>
    <t>Fi-0000000870</t>
  </si>
  <si>
    <t>Fi-0000000868</t>
  </si>
  <si>
    <t>Fi-0000000848</t>
  </si>
  <si>
    <t>Fi-0000000854</t>
  </si>
  <si>
    <t>Fi-0000000881</t>
  </si>
  <si>
    <t>Catch year</t>
  </si>
  <si>
    <t>Fi-0000000888</t>
  </si>
  <si>
    <t>Tri Marine Pacific Ocean longline tuna fishery</t>
  </si>
  <si>
    <t>71 (Pacific, Western Central), 81 (Pacific, Southwest), 87 (Pacific, Southeast)</t>
  </si>
  <si>
    <t>Singapore</t>
  </si>
  <si>
    <t>Albacore</t>
  </si>
  <si>
    <t>Bigeye tuna</t>
  </si>
  <si>
    <t>Skipjack tuna</t>
  </si>
  <si>
    <t>Yellowfin tuna</t>
  </si>
  <si>
    <t>Atl. bluefin tuna</t>
  </si>
  <si>
    <t>Certificate expiry date</t>
  </si>
  <si>
    <t>N/A</t>
  </si>
  <si>
    <t>Fi-0000000912</t>
  </si>
  <si>
    <t>Fukuichi Western and Central Pacific Ocean longline bigeye, yellowfin and albacore tuna</t>
  </si>
  <si>
    <t>Fi-0000000905</t>
  </si>
  <si>
    <t>TTKV WCPO skipjack and yellowfin tuna purse seine fishery</t>
  </si>
  <si>
    <t>Fi-0000000876</t>
  </si>
  <si>
    <t>DFC/HEC Western and Central Pacific longline bigeye, yellowfin and albacore tuna fishery</t>
  </si>
  <si>
    <t>Korea, Republic Of, United Kingdom</t>
  </si>
  <si>
    <t>61 (Pacific, Northwest), 71 (Pacific, Western Central), 77 (Pacific, Eastern Central), 81 (Pacific, Southwest)</t>
  </si>
  <si>
    <t>Fi-0000000911</t>
  </si>
  <si>
    <t>Katsuo Ippon-zuri Gyogyo albacore and skipjack pole and line fishery</t>
  </si>
  <si>
    <t>Fi-0000000927</t>
  </si>
  <si>
    <t>61 (Pacific, Northwest), 71 (Pacific, Western Central), 77 (Pacific, Eastern Central)</t>
  </si>
  <si>
    <t>Fi-0000000907</t>
  </si>
  <si>
    <t>ANABAC Indian Ocean purse seine skipjack fishery</t>
  </si>
  <si>
    <t>Surrounding Nets - With purse lines (purse seines): Purse seiner FSC &amp; FAD sets</t>
  </si>
  <si>
    <t>Suspended</t>
  </si>
  <si>
    <t>Fi-0000000949</t>
  </si>
  <si>
    <t>North West Atlantic Canada Swordfish and Tuna</t>
  </si>
  <si>
    <t>Hooks And Lines - Handlines and pole-lines (hand-operated): Rod and reel, Hooks And Lines - Longlines, Hooks And Lines - Set longlines: Buoy gear, Hooks And Lines - Trolling lines</t>
  </si>
  <si>
    <t>21 (Atlantic, Northwest)</t>
  </si>
  <si>
    <t>Fortuna Pacific longline albacore, bigeye and yellowfin tuna fishery</t>
  </si>
  <si>
    <t>Fi-0000000962</t>
  </si>
  <si>
    <t>61 (Pacific, Northwest), 71 (Pacific, Western Central), 77 (Pacific, Eastern Central), 81 (Pacific, Southwest), 87 (Pacific, Southeast)</t>
  </si>
  <si>
    <t>Vanuatu</t>
  </si>
  <si>
    <t>Kyowa-Meiho Japan skipjack and yellowfin purse seine fishery</t>
  </si>
  <si>
    <t>Fi-0000000931</t>
  </si>
  <si>
    <t>Silla, NFCD WCPO purse seine tuna fishery</t>
  </si>
  <si>
    <t>Fi-0000000935</t>
  </si>
  <si>
    <t>Surrounding Nets - With purse lines (purse seines): Purse seine setting on FADs and unassociated schools</t>
  </si>
  <si>
    <t>Silla WCPO longline tuna fishery</t>
  </si>
  <si>
    <t>Fi-0000000964</t>
  </si>
  <si>
    <t>Fi-0000000955</t>
  </si>
  <si>
    <t>Atlantic Ocean tropical tuna French purse seine</t>
  </si>
  <si>
    <t>Surrounding Nets - With purse lines (purse seines): All set types combined</t>
  </si>
  <si>
    <t>Fi-0000000966</t>
  </si>
  <si>
    <t>Surrounding Nets - With purse lines (purse seines): Purse seine (dolphin-associated, unassociated and FADs)</t>
  </si>
  <si>
    <t>Eastern Pacific Ecuador Purse Seine Tropical Tuna Fishery (FSC and FAD set fishery)</t>
  </si>
  <si>
    <t>In-transition to MSC</t>
  </si>
  <si>
    <t>South Africa albacore tuna pole and line</t>
  </si>
  <si>
    <t>Fi-0000000757</t>
  </si>
  <si>
    <t>PNA Western and Central Pacific skipjack and yellowfin, unassociated / non FAD set, tuna purse seine fishery</t>
  </si>
  <si>
    <t>American Samoa EEZ tuna longline fishery</t>
  </si>
  <si>
    <t>United States of America</t>
  </si>
  <si>
    <t>Republic of Korea</t>
  </si>
  <si>
    <t>Pingtairong Pacific tuna deep set longline fishery</t>
  </si>
  <si>
    <t>Fi-0000000938</t>
  </si>
  <si>
    <t>Hooks And Lines - Longlines: Deep set longlines fishing vessels between 297and 657 metric tons using longline gear with approximately 3,500 hooks per set and 22-26 hooks between floats</t>
  </si>
  <si>
    <t>Dae Hae Pacific Yellowfin, Bigeye, Albacore, and Swordfish Longline</t>
  </si>
  <si>
    <t>Fi-0000000939</t>
  </si>
  <si>
    <t>Hooks And Lines - Longlines: Pelagic longlines</t>
  </si>
  <si>
    <t>Korea, Republic Of</t>
  </si>
  <si>
    <t>TAFCO FSM skipjack and yellowfin tuna purse seine fishery</t>
  </si>
  <si>
    <t>Fi-0000000969</t>
  </si>
  <si>
    <t>Consolidated Atlantic ocean albacore tuna longline fishery</t>
  </si>
  <si>
    <t>Fi-0000000971</t>
  </si>
  <si>
    <t>Sajo WCPO and EPO bigeye, yellowfin, and albacore tuna longline</t>
  </si>
  <si>
    <t>Fi-0000000976</t>
  </si>
  <si>
    <t>Korea, Republic of</t>
  </si>
  <si>
    <t>Dongwon skipjack Indian Ocean purse seine fishery</t>
  </si>
  <si>
    <t>Fi-0000000983</t>
  </si>
  <si>
    <t>Surrounding Nets - With purse lines (purse seines): Purse seine</t>
  </si>
  <si>
    <t>Capsen &amp; Grand Bleu Atlantic Ocean purse seine skipjack and yellowfin tuna fishery</t>
  </si>
  <si>
    <t>Fi-0000000985</t>
  </si>
  <si>
    <t>Surrounding Nets - With purse lines (purse seines): Free school and FADs</t>
  </si>
  <si>
    <t>French Polynesia albacore, yellowfin and swordfish longline fishery</t>
  </si>
  <si>
    <t>Hooks And Lines: Pelagic longline</t>
  </si>
  <si>
    <t>Hooks And Lines: Pole and Line</t>
  </si>
  <si>
    <t>Atún Sostenible EPO Panamá Tuna Fishery</t>
  </si>
  <si>
    <t>Kiribati albacore, bigeye and yellowfin tuna longline fishery</t>
  </si>
  <si>
    <t>Tuna Alliance Atlantic albacore longline fishery</t>
  </si>
  <si>
    <t>?</t>
  </si>
  <si>
    <t>34 (Atlantic, Eastern Central), 41 (Atlantic, Southwest), 47 (Atlantic, Southeast)</t>
  </si>
  <si>
    <t>57 (Indian Ocean, Eastern)</t>
  </si>
  <si>
    <t>Southern Africa Sustainable Tuna Association (SASTA) Albacore Pole and Line Fishery</t>
  </si>
  <si>
    <t>Fi-0000001005</t>
  </si>
  <si>
    <t>Tri Marine Western and Central Pacific skipjack, yellowfin and bigeye tuna fishery</t>
  </si>
  <si>
    <t>2022, 2018</t>
  </si>
  <si>
    <t>Australia southern bluefin tuna purse seine fishery</t>
  </si>
  <si>
    <t>Fi-0000000972</t>
  </si>
  <si>
    <t>Southern bluefin tuna</t>
  </si>
  <si>
    <t>Fi-0000001015</t>
  </si>
  <si>
    <t>Consolidated Indian Ocean longline albacore tuna fishery</t>
  </si>
  <si>
    <t>Australia southern bluefin tuna longline and minor line fishery</t>
  </si>
  <si>
    <t>Fi-0000001019</t>
  </si>
  <si>
    <t>Ghanaian Atlantic Ocean skipjack and yellowfin tuna purse seine fishery</t>
  </si>
  <si>
    <t>Fi-0000001021</t>
  </si>
  <si>
    <t>Ghanaian Atlantic Ocean skipjack and yellowfin tuna pole and line fishery</t>
  </si>
  <si>
    <t>Fi-0000001024</t>
  </si>
  <si>
    <t>Silla WCPO purse seine tuna fishery</t>
  </si>
  <si>
    <t>2024, 2023</t>
  </si>
  <si>
    <t>Dongwon Pacific purse seine yellowfin, bigeye and skipjack fishery</t>
  </si>
  <si>
    <t>Dongwon Pacific longline yellowfin, bigeye and albacore fishery</t>
  </si>
  <si>
    <t>SZLC, CSFC, FMLC &amp; MIFV RMI EEZ longline yellowfin, bigeye and albacore tuna</t>
  </si>
  <si>
    <t>Hooks And Lines - Handlines and pole-lines (hand-operated): pole and line and trolling</t>
  </si>
  <si>
    <t>Hooks And Lines - Handlines and pole-lines (mechanized): Pole and line</t>
  </si>
  <si>
    <t>Thailand, Ghana</t>
  </si>
  <si>
    <t>???</t>
  </si>
  <si>
    <t>Fi-0000001028</t>
  </si>
  <si>
    <t>Kha Yang Marine Indian Ocean longline albacore tuna fishery</t>
  </si>
  <si>
    <t>Mauritius</t>
  </si>
  <si>
    <t xml:space="preserve">Indonesia Indian Ocean tuna and large pelagics longline </t>
  </si>
  <si>
    <t>Fi-0000001032</t>
  </si>
  <si>
    <t>Fi-0000001039</t>
  </si>
  <si>
    <t>Dakartuna Atlantic pole and line tuna fishery</t>
  </si>
  <si>
    <t>$L$4</t>
  </si>
  <si>
    <t>$L$11</t>
  </si>
  <si>
    <t>$L$12</t>
  </si>
  <si>
    <t>$L$13</t>
  </si>
  <si>
    <t>$L$14</t>
  </si>
  <si>
    <t>$L$15</t>
  </si>
  <si>
    <t>$L$16</t>
  </si>
  <si>
    <t>$L$17</t>
  </si>
  <si>
    <t>$L$18</t>
  </si>
  <si>
    <t>$L$20</t>
  </si>
  <si>
    <t>$L$23</t>
  </si>
  <si>
    <t>$L$24</t>
  </si>
  <si>
    <t>$L$25</t>
  </si>
  <si>
    <t>$L$28</t>
  </si>
  <si>
    <t>$L$31</t>
  </si>
  <si>
    <t>$L$34</t>
  </si>
  <si>
    <t>$L$35</t>
  </si>
  <si>
    <t>$L$36</t>
  </si>
  <si>
    <t>$L$37</t>
  </si>
  <si>
    <t>$L$40</t>
  </si>
  <si>
    <t>$L$41</t>
  </si>
  <si>
    <t>$L$42</t>
  </si>
  <si>
    <t>$L$44</t>
  </si>
  <si>
    <t>$L$45</t>
  </si>
  <si>
    <t>$L$46</t>
  </si>
  <si>
    <t>$L$47</t>
  </si>
  <si>
    <t>$L$48</t>
  </si>
  <si>
    <t>$L$49</t>
  </si>
  <si>
    <t>$L$51</t>
  </si>
  <si>
    <t>$L$52</t>
  </si>
  <si>
    <t>$L$53</t>
  </si>
  <si>
    <t>$L$54</t>
  </si>
  <si>
    <t>$L$55</t>
  </si>
  <si>
    <t>$L$56</t>
  </si>
  <si>
    <t>$L$57</t>
  </si>
  <si>
    <t>$L$58</t>
  </si>
  <si>
    <t>$L$62</t>
  </si>
  <si>
    <t>$L$63</t>
  </si>
  <si>
    <t>$L$64</t>
  </si>
  <si>
    <t>$L$66</t>
  </si>
  <si>
    <t>$L$67</t>
  </si>
  <si>
    <t>$L$68</t>
  </si>
  <si>
    <t>$L$69</t>
  </si>
  <si>
    <t>$L$70</t>
  </si>
  <si>
    <t>$L$71</t>
  </si>
  <si>
    <t>$L$72</t>
  </si>
  <si>
    <t>$L$73</t>
  </si>
  <si>
    <t>$L$74</t>
  </si>
  <si>
    <t>$L$75</t>
  </si>
  <si>
    <t>$L$76</t>
  </si>
  <si>
    <t>$L$77</t>
  </si>
  <si>
    <t>$L$83</t>
  </si>
  <si>
    <t>$L$87</t>
  </si>
  <si>
    <t>$L$88</t>
  </si>
  <si>
    <t>$L$89</t>
  </si>
  <si>
    <t>$L$90</t>
  </si>
  <si>
    <t>$L$91</t>
  </si>
  <si>
    <t>$L$93</t>
  </si>
  <si>
    <t>$L$94</t>
  </si>
  <si>
    <t>$L$95</t>
  </si>
  <si>
    <t>$L$97</t>
  </si>
  <si>
    <t>$L$100</t>
  </si>
  <si>
    <t>$L$101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</si>
</sst>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theme="4" tint="0.39997558519241921"/>
      </left>
      <right/>
      <top/>
      <bottom/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25">
    <xf numFmtId="0" fontId="0" fillId="0" borderId="0" xfId="0"/>
    <xf numFmtId="165" fontId="0" fillId="0" borderId="2" xfId="4" applyNumberFormat="1" applyFont="1" applyFill="1" applyBorder="1" applyAlignment="1"/>
    <xf numFmtId="0" fontId="1" fillId="0" borderId="1" xfId="1" applyFill="1" applyBorder="1" applyAlignment="1">
      <alignment vertical="center"/>
    </xf>
    <xf numFmtId="0" fontId="5" fillId="0" borderId="2" xfId="1" applyFont="1" applyFill="1" applyBorder="1" applyAlignment="1"/>
    <xf numFmtId="0" fontId="5" fillId="0" borderId="2" xfId="1" applyFont="1" applyFill="1" applyBorder="1" applyAlignment="1">
      <alignment vertical="center"/>
    </xf>
    <xf numFmtId="0" fontId="5" fillId="0" borderId="2" xfId="1" applyFont="1" applyFill="1" applyBorder="1" applyAlignment="1">
      <alignment horizontal="left" vertical="top"/>
    </xf>
    <xf numFmtId="0" fontId="5" fillId="0" borderId="2" xfId="1" applyFont="1" applyFill="1" applyBorder="1" applyAlignment="1">
      <alignment horizontal="left" vertical="center"/>
    </xf>
    <xf numFmtId="0" fontId="0" fillId="0" borderId="2" xfId="0" applyBorder="1"/>
    <xf numFmtId="0" fontId="1" fillId="0" borderId="1" xfId="1" applyFill="1" applyBorder="1" applyAlignment="1"/>
    <xf numFmtId="0" fontId="1" fillId="0" borderId="2" xfId="1" applyFill="1" applyBorder="1" applyAlignment="1">
      <alignment horizontal="left" vertical="center"/>
    </xf>
    <xf numFmtId="0" fontId="1" fillId="0" borderId="1" xfId="1" applyFill="1" applyBorder="1" applyAlignment="1">
      <alignment horizontal="left" vertical="top"/>
    </xf>
    <xf numFmtId="0" fontId="1" fillId="0" borderId="1" xfId="1" applyFill="1" applyBorder="1" applyAlignment="1">
      <alignment horizontal="left" vertical="center"/>
    </xf>
    <xf numFmtId="0" fontId="1" fillId="0" borderId="2" xfId="1" applyFill="1" applyBorder="1" applyAlignment="1">
      <alignment vertical="center"/>
    </xf>
    <xf numFmtId="0" fontId="4" fillId="0" borderId="0" xfId="0" applyFont="1"/>
    <xf numFmtId="0" fontId="4" fillId="0" borderId="3" xfId="0" applyFont="1" applyBorder="1"/>
    <xf numFmtId="0" fontId="5" fillId="0" borderId="0" xfId="1" applyFont="1" applyFill="1" applyBorder="1" applyAlignment="1"/>
    <xf numFmtId="0" fontId="1" fillId="0" borderId="0" xfId="1" applyFill="1" applyBorder="1" applyAlignment="1"/>
    <xf numFmtId="0" fontId="5" fillId="0" borderId="0" xfId="1" applyFont="1" applyFill="1" applyBorder="1" applyAlignment="1">
      <alignment vertical="center"/>
    </xf>
    <xf numFmtId="0" fontId="1" fillId="0" borderId="0" xfId="1" applyFill="1" applyBorder="1" applyAlignment="1">
      <alignment vertical="center"/>
    </xf>
    <xf numFmtId="14" fontId="0" fillId="0" borderId="2" xfId="0" applyNumberFormat="1" applyBorder="1"/>
    <xf numFmtId="0" fontId="4" fillId="0" borderId="2" xfId="0" applyFont="1" applyBorder="1"/>
    <xf numFmtId="0" fontId="1" fillId="0" borderId="2" xfId="1" applyFill="1" applyBorder="1" applyAlignment="1"/>
    <xf numFmtId="0" fontId="3" fillId="0" borderId="2" xfId="0" applyFont="1" applyBorder="1"/>
    <xf numFmtId="165" fontId="0" fillId="0" borderId="2" xfId="4" applyNumberFormat="1" applyFont="1" applyFill="1" applyBorder="1"/>
    <xf numFmtId="0" fontId="1" fillId="0" borderId="2" xfId="1" applyFill="1" applyBorder="1" applyAlignment="1">
      <alignment horizontal="left" vertical="top"/>
    </xf>
  </cellXfs>
  <cellStyles count="5">
    <cellStyle name="Comma 2" xfId="3" xr:uid="{4C7DCE92-0233-49DE-BD2D-463D0F1A1FE7}"/>
    <cellStyle name="Comma 4" xfId="2" xr:uid="{4F640446-B847-480D-81C6-0E652EEC375F}"/>
    <cellStyle name="Hipervínculo" xfId="1" builtinId="8"/>
    <cellStyle name="Millares" xfId="4" builtinId="3"/>
    <cellStyle name="Normal" xfId="0" builtinId="0"/>
  </cellStyles>
  <dxfs count="4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m/d/yyyy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theme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4" tint="0.39997558519241921"/>
        </left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border outline="0">
        <left style="thin">
          <color rgb="FF9BC2E6"/>
        </left>
        <top style="thin">
          <color rgb="FF9BC2E6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4" tint="0.39997558519241921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4" tint="0.39997558519241921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4" tint="0.39997558519241921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4" tint="0.39997558519241921"/>
        </top>
        <bottom/>
      </border>
    </dxf>
    <dxf>
      <numFmt numFmtId="166" formatCode="m/d/yyyy"/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4" tint="0.39997558519241921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4" tint="0.39997558519241921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4" tint="0.39997558519241921"/>
        </top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 outline="0">
        <left style="thin">
          <color theme="4" tint="0.39997558519241921"/>
        </left>
      </border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B3CF50E-C1B7-4023-A954-D4804268FEF4}" name="Table1" displayName="Table1" ref="A1:Q85" totalsRowShown="0" headerRowDxfId="39" dataDxfId="38" tableBorderDxfId="37">
  <autoFilter ref="A1:Q85" xr:uid="{7B3CF50E-C1B7-4023-A954-D4804268FEF4}"/>
  <tableColumns count="17">
    <tableColumn id="1" xr3:uid="{7B555FF3-AC21-4DC2-828E-C223AAFBA9D3}" name="Fishery ID" dataDxfId="36"/>
    <tableColumn id="2" xr3:uid="{AF4C1E35-568A-42B9-96FD-A14A2B2E016F}" name="Fishery name" dataDxfId="35"/>
    <tableColumn id="3" xr3:uid="{F69C0617-2A23-44B8-88CE-0F06DDE3EBE1}" name="Certification status" dataDxfId="34"/>
    <tableColumn id="4" xr3:uid="{5ADEA8C7-1BBA-4119-A7B5-9A47CA2E9D1F}" name="Gear type(s)" dataDxfId="33"/>
    <tableColumn id="5" xr3:uid="{D0E149BF-35A7-4FEB-B582-5C3087B4D341}" name="Albacore" dataDxfId="32"/>
    <tableColumn id="6" xr3:uid="{7D56E6E7-5088-43F2-AA55-EB22D7775171}" name="Atl. bluefin tuna" dataDxfId="31"/>
    <tableColumn id="7" xr3:uid="{20D643CA-8837-4A6C-839A-21204D0838D7}" name="Bigeye tuna" dataDxfId="30"/>
    <tableColumn id="8" xr3:uid="{F760366E-594C-4335-B8D6-C0B5864F9747}" name="Skipjack tuna" dataDxfId="29"/>
    <tableColumn id="9" xr3:uid="{209168A0-2EB2-4A87-9695-43BC97C2F352}" name="Southern bluefin tuna" dataDxfId="28"/>
    <tableColumn id="10" xr3:uid="{953A901F-A41E-4B0B-8FB0-8FD1A3ADBB64}" name="Yellowfin tuna" dataDxfId="27"/>
    <tableColumn id="11" xr3:uid="{34C28FFE-C228-4D43-8FAA-481E1C80F503}" name="Total volume" dataDxfId="26">
      <calculatedColumnFormula>SUM('Master table catch from report'!$E2:$J2)</calculatedColumnFormula>
    </tableColumn>
    <tableColumn id="12" xr3:uid="{31BA9FD2-324B-4C26-8FC8-3345E7805CA5}" name="Catch year" dataDxfId="25"/>
    <tableColumn id="14" xr3:uid="{025AA34F-BA2B-4B75-A7C7-3C4EB1D08710}" name="Certificate expiry date" dataDxfId="24"/>
    <tableColumn id="15" xr3:uid="{A78CECA6-A508-4064-83AD-CB6445CEF653}" name="Country" dataDxfId="23"/>
    <tableColumn id="16" xr3:uid="{0AB7D0A9-81FA-42E3-9119-74D314BB7A32}" name="Location FAO Region" dataDxfId="22"/>
    <tableColumn id="17" xr3:uid="{A77FB998-668F-4800-9E8C-F46587A28C75}" name="Latitude" dataDxfId="21"/>
    <tableColumn id="18" xr3:uid="{4DFF79C6-5F1E-4F36-ABB6-4E64B8C08B98}" name="Longitude" dataDxfId="2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F6DAB2E-6ACA-4B33-A3BD-AC00EF0A14B2}" name="Table3" displayName="Table3" ref="A1:Q85" totalsRowShown="0" headerRowDxfId="19" dataDxfId="18" tableBorderDxfId="17">
  <autoFilter ref="A1:Q85" xr:uid="{FF6DAB2E-6ACA-4B33-A3BD-AC00EF0A14B2}"/>
  <tableColumns count="17">
    <tableColumn id="1" xr3:uid="{9113CE7F-64C5-4588-8F80-C68A79CF7FA5}" name="Fishery ID" dataDxfId="16"/>
    <tableColumn id="2" xr3:uid="{A865AA44-FCA3-486E-9F30-FB5BD15097B5}" name="Fishery name" dataDxfId="15"/>
    <tableColumn id="3" xr3:uid="{240F73E8-CDEE-4C4C-A8CF-199653EAE0B4}" name="Certification status" dataDxfId="14">
      <calculatedColumnFormula>'Master table catch from report'!C2</calculatedColumnFormula>
    </tableColumn>
    <tableColumn id="4" xr3:uid="{EA5096B0-A502-477F-883A-AF76BB70F165}" name="Gear type(s)" dataDxfId="13">
      <calculatedColumnFormula>'Master table catch from report'!D2</calculatedColumnFormula>
    </tableColumn>
    <tableColumn id="5" xr3:uid="{F1253DEE-4A81-4B6B-90F1-0CC1D6E3C32B}" name="Albacore" dataDxfId="12">
      <calculatedColumnFormula>'Master table catch from report'!E2</calculatedColumnFormula>
    </tableColumn>
    <tableColumn id="6" xr3:uid="{745BFEBE-F6AD-4B87-ABFE-D715BCCE46C9}" name="Atl. bluefin tuna" dataDxfId="11">
      <calculatedColumnFormula>'Master table catch from report'!F2</calculatedColumnFormula>
    </tableColumn>
    <tableColumn id="7" xr3:uid="{8F7EF14D-AC07-4266-B210-F74FB6D766DF}" name="Bigeye tuna" dataDxfId="10">
      <calculatedColumnFormula>'Master table catch from report'!G2</calculatedColumnFormula>
    </tableColumn>
    <tableColumn id="8" xr3:uid="{C2957771-FB0F-4D59-BAD1-3E891CBF2B30}" name="Skipjack tuna" dataDxfId="9">
      <calculatedColumnFormula>'Master table catch from report'!H2</calculatedColumnFormula>
    </tableColumn>
    <tableColumn id="19" xr3:uid="{8B3B384B-6F4E-49F3-A66B-1FFD9E25978D}" name="Southern bluefin tuna" dataDxfId="8">
      <calculatedColumnFormula>'Master table catch from report'!I2</calculatedColumnFormula>
    </tableColumn>
    <tableColumn id="9" xr3:uid="{B180C1C0-D894-4875-A3B0-0536186704F0}" name="Yellowfin tuna" dataDxfId="7">
      <calculatedColumnFormula>'Master table catch from report'!J2</calculatedColumnFormula>
    </tableColumn>
    <tableColumn id="10" xr3:uid="{DE54842C-812A-43C3-8901-330AF7347870}" name="Total volume" dataDxfId="6">
      <calculatedColumnFormula>SUM('Master table adjusted WCPO'!$E2:$J2)</calculatedColumnFormula>
    </tableColumn>
    <tableColumn id="11" xr3:uid="{29D23148-B846-43BA-8C9B-D3808624BC4B}" name="Catch year" dataDxfId="5">
      <calculatedColumnFormula>'Master table catch from report'!L2</calculatedColumnFormula>
    </tableColumn>
    <tableColumn id="13" xr3:uid="{D02C5977-F11A-43A3-B4CF-11262A15B5C4}" name="Certificate expiry date" dataDxfId="4">
      <calculatedColumnFormula>'Master table catch from report'!M2</calculatedColumnFormula>
    </tableColumn>
    <tableColumn id="14" xr3:uid="{D5A052A7-5650-44C8-8299-0C292F19BFD6}" name="Country" dataDxfId="3">
      <calculatedColumnFormula>'Master table catch from report'!N2</calculatedColumnFormula>
    </tableColumn>
    <tableColumn id="15" xr3:uid="{482E2ADD-06E1-43B9-830B-4F1BAD2E980D}" name="Location FAO Region" dataDxfId="2">
      <calculatedColumnFormula>'Master table catch from report'!O2</calculatedColumnFormula>
    </tableColumn>
    <tableColumn id="16" xr3:uid="{B283E64C-BFF0-4E59-8E59-D81FADF7ECD8}" name="Latitude" dataDxfId="1">
      <calculatedColumnFormula>'Master table catch from report'!P2</calculatedColumnFormula>
    </tableColumn>
    <tableColumn id="17" xr3:uid="{BFBE2619-5ED2-480C-8060-97A5FEBF7DF1}" name="Longitude" dataDxfId="0">
      <calculatedColumnFormula>'Master table catch from report'!Q2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fisheries.msc.org/en/fisheries/hawaii-longline-swordfish-bigeye-and-yellowfin-tuna-fishery/" TargetMode="External"/><Relationship Id="rId21" Type="http://schemas.openxmlformats.org/officeDocument/2006/relationships/hyperlink" Target="https://fisheries.msc.org/en/fisheries/eastern-pacific-ocean-tropical-tuna-purse-seine-tunacons-fishery/" TargetMode="External"/><Relationship Id="rId42" Type="http://schemas.openxmlformats.org/officeDocument/2006/relationships/hyperlink" Target="https://fisheries.msc.org/en/fisheries/katsuo-ippon-zuri-gyogyo-albacore-and-skipjack-pole-and-line-fishery/@@view" TargetMode="External"/><Relationship Id="rId47" Type="http://schemas.openxmlformats.org/officeDocument/2006/relationships/hyperlink" Target="https://fisheries.msc.org/en/fisheries/fortuna-pacific-longline-albacore-bigeye-and-yellowfin-tuna-fishery/@@view" TargetMode="External"/><Relationship Id="rId63" Type="http://schemas.openxmlformats.org/officeDocument/2006/relationships/hyperlink" Target="https://fisheries.msc.org/en/fisheries/south-africa-albacore-tuna-pole-and-line-fishery/@@view" TargetMode="External"/><Relationship Id="rId68" Type="http://schemas.openxmlformats.org/officeDocument/2006/relationships/hyperlink" Target="https://fisheries.msc.org/en/fisheries/australia-southern-bluefin-tuna-longline-and-minor-line-fishery/@@assessments" TargetMode="External"/><Relationship Id="rId84" Type="http://schemas.openxmlformats.org/officeDocument/2006/relationships/hyperlink" Target="https://fisheries.msc.org/en/fisheries/agac-four-oceans-integral-purse-seine-tropical-tuna-fishery/@@view" TargetMode="External"/><Relationship Id="rId16" Type="http://schemas.openxmlformats.org/officeDocument/2006/relationships/hyperlink" Target="https://fisheries.msc.org/en/fisheries/tri-marine-western-and-central-pacific-skipjack-and-yellowfin-tuna/@@view" TargetMode="External"/><Relationship Id="rId11" Type="http://schemas.openxmlformats.org/officeDocument/2006/relationships/hyperlink" Target="https://fisheries.msc.org/en/fisheries/owasebussan-co.-ltd.-north-pacific-longline-tuna-fishery-for-albacore-yellowfin-tuna-bigeye-tuna/@@view" TargetMode="External"/><Relationship Id="rId32" Type="http://schemas.openxmlformats.org/officeDocument/2006/relationships/hyperlink" Target="https://fisheries.msc.org/en/fisheries/tri-marine-atlantic-albacore-longline-fishery/" TargetMode="External"/><Relationship Id="rId37" Type="http://schemas.openxmlformats.org/officeDocument/2006/relationships/hyperlink" Target="https://fisheries.msc.org/en/fisheries/si-wcpo-skipjack-and-yellowfin-tuna-purse-seine-fishery/" TargetMode="External"/><Relationship Id="rId53" Type="http://schemas.openxmlformats.org/officeDocument/2006/relationships/hyperlink" Target="https://fisheries.msc.org/en/fisheries/atun-sostenible-tropical-pacific-yellowfin-and-skipjack-purse-seine-tuna-fishery/@@view" TargetMode="External"/><Relationship Id="rId58" Type="http://schemas.openxmlformats.org/officeDocument/2006/relationships/hyperlink" Target="https://fisheries.msc.org/en/fisheries/sajo-wcpo-and-epo-bigeye-yellowfin-and-albacore-tuna-longline/@@view" TargetMode="External"/><Relationship Id="rId74" Type="http://schemas.openxmlformats.org/officeDocument/2006/relationships/hyperlink" Target="https://fisheries.msc.org/en/fisheries/tropical-pacific-yellowfin-and-skipjack-free-school-purse-seine-fishery/@@view" TargetMode="External"/><Relationship Id="rId79" Type="http://schemas.openxmlformats.org/officeDocument/2006/relationships/hyperlink" Target="https://fisheries.msc.org/en/fisheries/kha-yang-marine-indian-ocean-longline-albacore-tuna-fishery/@@view" TargetMode="External"/><Relationship Id="rId5" Type="http://schemas.openxmlformats.org/officeDocument/2006/relationships/hyperlink" Target="https://fisheries.msc.org/en/fisheries/szlc-csfc-fzlc-cook-islands-eez-south-pacific-albacore-yellowfin-and-bigeye-longline/@@view" TargetMode="External"/><Relationship Id="rId19" Type="http://schemas.openxmlformats.org/officeDocument/2006/relationships/hyperlink" Target="https://fisheries.msc.org/en/fisheries/indonesia-pole-and-line-and-handline-skipjack-and-yellowfin-tuna-of-western-and-central-pacific-archipelagic-waters/@@view" TargetMode="External"/><Relationship Id="rId14" Type="http://schemas.openxmlformats.org/officeDocument/2006/relationships/hyperlink" Target="https://fisheries.msc.org/en/fisheries/maldives-pole-line-skipjack-tuna/@@view" TargetMode="External"/><Relationship Id="rId22" Type="http://schemas.openxmlformats.org/officeDocument/2006/relationships/hyperlink" Target="https://fisheries.msc.org/en/fisheries/eastern-pacific-purse-seine-skipjack-and-yellowfin-tuna-fishery-fsc-and-fad-set-fishery/" TargetMode="External"/><Relationship Id="rId27" Type="http://schemas.openxmlformats.org/officeDocument/2006/relationships/hyperlink" Target="https://fisheries.msc.org/en/fisheries/us-north-atlantic-swordfish-yellowfin-and-albacore-tuna-fishery/@@view" TargetMode="External"/><Relationship Id="rId30" Type="http://schemas.openxmlformats.org/officeDocument/2006/relationships/hyperlink" Target="https://fisheries.msc.org/en/fisheries/us-pacific-tuna-group-purse-seine-fsc-and-fad-set-fishery/" TargetMode="External"/><Relationship Id="rId35" Type="http://schemas.openxmlformats.org/officeDocument/2006/relationships/hyperlink" Target="https://fisheries.msc.org/en/fisheries/jc-mackintoshs-greenstick-handline-and-fishing-rod-bluefin-tuna-fishery/@@view" TargetMode="External"/><Relationship Id="rId43" Type="http://schemas.openxmlformats.org/officeDocument/2006/relationships/hyperlink" Target="https://fisheries.msc.org/en/fisheries/solomon-islands-skipjack-and-yellowfin-tuna-purse-seine-and-pole-and-line/@@view" TargetMode="External"/><Relationship Id="rId48" Type="http://schemas.openxmlformats.org/officeDocument/2006/relationships/hyperlink" Target="https://fisheries.msc.org/en/fisheries/kyowa-meiho-japan-skipjack-and-yellowfin-purse-seine-fishery/@@view" TargetMode="External"/><Relationship Id="rId56" Type="http://schemas.openxmlformats.org/officeDocument/2006/relationships/hyperlink" Target="https://fisheries.msc.org/en/fisheries/tafco-fsm-skipjack-and-yellowfin-tuna-purse-seine-fishery/@@view" TargetMode="External"/><Relationship Id="rId64" Type="http://schemas.openxmlformats.org/officeDocument/2006/relationships/hyperlink" Target="https://fisheries.msc.org/en/fisheries/north-atlantic-albacore-artisanal-fishery/@@view" TargetMode="External"/><Relationship Id="rId69" Type="http://schemas.openxmlformats.org/officeDocument/2006/relationships/hyperlink" Target="https://fisheries.msc.org/en/fisheries/ghanaian-atlantic-ocean-skipjack-and-yellowfin-tuna-purse-seine-fishery/@@assessments" TargetMode="External"/><Relationship Id="rId77" Type="http://schemas.openxmlformats.org/officeDocument/2006/relationships/hyperlink" Target="https://fisheries.msc.org/en/fisheries/mifv-rmi-eez-longline-yellowfin-and-bigeye-tuna/@@view" TargetMode="External"/><Relationship Id="rId8" Type="http://schemas.openxmlformats.org/officeDocument/2006/relationships/hyperlink" Target="https://fisheries.msc.org/en/fisheries/french-polynesia-albacore-and-yellowfin-longline-fishery/@@view" TargetMode="External"/><Relationship Id="rId51" Type="http://schemas.openxmlformats.org/officeDocument/2006/relationships/hyperlink" Target="https://fisheries.msc.org/en/fisheries/atlantic-ocean-tropical-tuna-french-purse-seine/@@view" TargetMode="External"/><Relationship Id="rId72" Type="http://schemas.openxmlformats.org/officeDocument/2006/relationships/hyperlink" Target="https://fisheries.msc.org/en/fisheries/fukuichi-western-and-central-pacific-ocean-longline-bigeye-yellowfin-and-albacore-tuna/@@view" TargetMode="External"/><Relationship Id="rId80" Type="http://schemas.openxmlformats.org/officeDocument/2006/relationships/hyperlink" Target="https://fisheries.msc.org/en/fisheries/indonesia-indian-ocean-tuna-and-large-pelagics-longline/@@view" TargetMode="External"/><Relationship Id="rId85" Type="http://schemas.openxmlformats.org/officeDocument/2006/relationships/vmlDrawing" Target="../drawings/vmlDrawing1.vml"/><Relationship Id="rId3" Type="http://schemas.openxmlformats.org/officeDocument/2006/relationships/hyperlink" Target="https://fisheries.msc.org/en/fisheries/canada-highly-migratory-species-foundation-chmsf-british-columbia-albacore-tuna-north-pacific/@@view" TargetMode="External"/><Relationship Id="rId12" Type="http://schemas.openxmlformats.org/officeDocument/2006/relationships/hyperlink" Target="https://fisheries.msc.org/en/fisheries/kochi-and-miyazaki-offshore-pole-and-line-albacore-and-skipjack-fishery/@@view" TargetMode="External"/><Relationship Id="rId17" Type="http://schemas.openxmlformats.org/officeDocument/2006/relationships/hyperlink" Target="https://fisheries.msc.org/en/fisheries/png-fishing-industry-associations-purse-seine-skipjack-yellowfin-tuna-fishery/@@view" TargetMode="External"/><Relationship Id="rId25" Type="http://schemas.openxmlformats.org/officeDocument/2006/relationships/hyperlink" Target="https://fisheries.msc.org/en/fisheries/philippine-small-scale-yellowfin-tuna-thunnus-albacares-handline-fishery/" TargetMode="External"/><Relationship Id="rId33" Type="http://schemas.openxmlformats.org/officeDocument/2006/relationships/hyperlink" Target="https://fisheries.msc.org/en/fisheries/usufuku-honten-northeast-atlantic-longline-bluefin-tuna-fishery/@@view" TargetMode="External"/><Relationship Id="rId38" Type="http://schemas.openxmlformats.org/officeDocument/2006/relationships/hyperlink" Target="https://fisheries.msc.org/en/fisheries/fukuichi-western-and-central-pacific-ocean-longline-bigeye-yellowfin-and-albacore-tuna/@@view" TargetMode="External"/><Relationship Id="rId46" Type="http://schemas.openxmlformats.org/officeDocument/2006/relationships/hyperlink" Target="https://fisheries.msc.org/en/fisheries/north-west-atlantic-canada-swordfish-and-tuna/@@view" TargetMode="External"/><Relationship Id="rId59" Type="http://schemas.openxmlformats.org/officeDocument/2006/relationships/hyperlink" Target="https://fisheries.msc.org/en/fisheries/dongwon-skipjack-indian-ocean-purse-seine-fishery/@@view" TargetMode="External"/><Relationship Id="rId67" Type="http://schemas.openxmlformats.org/officeDocument/2006/relationships/hyperlink" Target="https://fisheries.msc.org/en/fisheries/consolidated-atlantic-ocean-albacore-tuna-longline-fishery/@@assessments" TargetMode="External"/><Relationship Id="rId20" Type="http://schemas.openxmlformats.org/officeDocument/2006/relationships/hyperlink" Target="https://fisheries.msc.org/en/fisheries/micronesia-skipjack-yellowfin-and-bigeye-tuna-purse-seine-fishery/@@view" TargetMode="External"/><Relationship Id="rId41" Type="http://schemas.openxmlformats.org/officeDocument/2006/relationships/hyperlink" Target="https://fisheries.msc.org/en/fisheries/tuna-alliance-atlantic-albacore-longline-fishery/@@view" TargetMode="External"/><Relationship Id="rId54" Type="http://schemas.openxmlformats.org/officeDocument/2006/relationships/hyperlink" Target="https://fisheries.msc.org/en/fisheries/pingtairong-pacific-tuna-deep-set-longline-fishery/@@view" TargetMode="External"/><Relationship Id="rId62" Type="http://schemas.openxmlformats.org/officeDocument/2006/relationships/hyperlink" Target="https://fisheries.msc.org/en/fisheries/southern-africa-sustainable-tuna-association-sasta-albacore-pole-and-line-fishery/@@view" TargetMode="External"/><Relationship Id="rId70" Type="http://schemas.openxmlformats.org/officeDocument/2006/relationships/hyperlink" Target="https://fisheries.msc.org/en/fisheries/ghanaian-atlantic-ocean-skipjack-and-yellowfin-tuna-pole-and-line-fishery/@@assessments" TargetMode="External"/><Relationship Id="rId75" Type="http://schemas.openxmlformats.org/officeDocument/2006/relationships/hyperlink" Target="https://fisheries.msc.org/en/fisheries/tropical-pacific-yellowfin-and-skipjack-free-school-purse-seine-fishery/@@view" TargetMode="External"/><Relationship Id="rId83" Type="http://schemas.openxmlformats.org/officeDocument/2006/relationships/hyperlink" Target="https://fisheries.msc.org/en/fisheries/wpsta-western-and-central-pacific-skipjack-and-yellowfin-free-school-purse-seine/@@view" TargetMode="External"/><Relationship Id="rId1" Type="http://schemas.openxmlformats.org/officeDocument/2006/relationships/hyperlink" Target="https://fisheries.msc.org/en/fisheries/aafa-and-wfoa-north-pacific-albacore-tuna/@@view" TargetMode="External"/><Relationship Id="rId6" Type="http://schemas.openxmlformats.org/officeDocument/2006/relationships/hyperlink" Target="https://fisheries.msc.org/en/fisheries/japanese-pole-and-line-skipjack-and-albacore-tuna-fishery/@@view" TargetMode="External"/><Relationship Id="rId15" Type="http://schemas.openxmlformats.org/officeDocument/2006/relationships/hyperlink" Target="https://fisheries.msc.org/en/fisheries/pna-western-and-central-pacific-skipjack-and-yellowfin-unassociated-non-fad-set-tuna-purse-seine/@@view" TargetMode="External"/><Relationship Id="rId23" Type="http://schemas.openxmlformats.org/officeDocument/2006/relationships/hyperlink" Target="https://fisheries.msc.org/en/fisheries/fiji-albacore-yellowfin-and-bigeye-tuna-longline/@@view" TargetMode="External"/><Relationship Id="rId28" Type="http://schemas.openxmlformats.org/officeDocument/2006/relationships/hyperlink" Target="https://fisheries.msc.org/en/fisheries/agac-four-oceans-integral-purse-seine-tropical-tuna-fishery/@@view" TargetMode="External"/><Relationship Id="rId36" Type="http://schemas.openxmlformats.org/officeDocument/2006/relationships/hyperlink" Target="https://fisheries.msc.org/en/fisheries/tri-marine-pacific-ocean-longline-tuna-fishery/@@assessments" TargetMode="External"/><Relationship Id="rId49" Type="http://schemas.openxmlformats.org/officeDocument/2006/relationships/hyperlink" Target="https://fisheries.msc.org/en/fisheries/silla-nfcd-wcpo-purse-seine-tuna-fishery/@@view" TargetMode="External"/><Relationship Id="rId57" Type="http://schemas.openxmlformats.org/officeDocument/2006/relationships/hyperlink" Target="https://fisheries.msc.org/en/fisheries/consolidated-atlantic-ocean-albacore-tuna-longline-fishery/@@view" TargetMode="External"/><Relationship Id="rId10" Type="http://schemas.openxmlformats.org/officeDocument/2006/relationships/hyperlink" Target="https://fisheries.msc.org/en/fisheries/australian-eastern-tuna-and-billfish-fishery-albacore-tuna-yellowfin-tuna-bigeye-tuna-and-swordfish/@@view" TargetMode="External"/><Relationship Id="rId31" Type="http://schemas.openxmlformats.org/officeDocument/2006/relationships/hyperlink" Target="https://fisheries.msc.org/en/fisheries/nauru-skipjack-yellowfin-and-bigeye-tuna-purse-seine-fishery/" TargetMode="External"/><Relationship Id="rId44" Type="http://schemas.openxmlformats.org/officeDocument/2006/relationships/hyperlink" Target="https://fisheries.msc.org/en/fisheries/agac-four-oceans-integral-purse-seine-tropical-tuna-fishery/@@view" TargetMode="External"/><Relationship Id="rId52" Type="http://schemas.openxmlformats.org/officeDocument/2006/relationships/hyperlink" Target="https://fisheries.msc.org/en/fisheries/anabac-indian-ocean-purse-seine-skipjack-fishery/@@view" TargetMode="External"/><Relationship Id="rId60" Type="http://schemas.openxmlformats.org/officeDocument/2006/relationships/hyperlink" Target="https://fisheries.msc.org/en/fisheries/capsen-grand-bleu-atlantic-ocean-purse-seine-skipjack-and-yellowfin-tuna-fishery/@@view" TargetMode="External"/><Relationship Id="rId65" Type="http://schemas.openxmlformats.org/officeDocument/2006/relationships/hyperlink" Target="https://fisheries.msc.org/en/fisheries/szlc-csfc-fzlc-fsm-eez-longline-yellowfin-and-bigeye-tuna/@@view" TargetMode="External"/><Relationship Id="rId73" Type="http://schemas.openxmlformats.org/officeDocument/2006/relationships/hyperlink" Target="https://fisheries.msc.org/en/fisheries/eastern-pacific-ocean-tropical-tuna-purse-seine-tunacons-fishery/" TargetMode="External"/><Relationship Id="rId78" Type="http://schemas.openxmlformats.org/officeDocument/2006/relationships/hyperlink" Target="https://fisheries.msc.org/en/fisheries/agac-four-oceans-integral-purse-seine-tropical-tuna-fishery/@@view" TargetMode="External"/><Relationship Id="rId81" Type="http://schemas.openxmlformats.org/officeDocument/2006/relationships/hyperlink" Target="https://fisheries.msc.org/en/fisheries/dakartuna-atlantic-pole-and-line-tuna-fishery/@@view" TargetMode="External"/><Relationship Id="rId86" Type="http://schemas.openxmlformats.org/officeDocument/2006/relationships/table" Target="../tables/table1.xml"/><Relationship Id="rId4" Type="http://schemas.openxmlformats.org/officeDocument/2006/relationships/hyperlink" Target="https://fisheries.msc.org/en/fisheries/new-zealand-albacore-tuna-troll/@@view" TargetMode="External"/><Relationship Id="rId9" Type="http://schemas.openxmlformats.org/officeDocument/2006/relationships/hyperlink" Target="https://fisheries.msc.org/en/fisheries/kiribati-albacore-bigeye-and-yellowfin-tuna-longline-fishery/@@view" TargetMode="External"/><Relationship Id="rId13" Type="http://schemas.openxmlformats.org/officeDocument/2006/relationships/hyperlink" Target="https://fisheries.msc.org/en/fisheries/agac-four-oceans-integral-purse-seine-tropical-tuna-fishery/@@view" TargetMode="External"/><Relationship Id="rId18" Type="http://schemas.openxmlformats.org/officeDocument/2006/relationships/hyperlink" Target="https://fisheries.msc.org/en/fisheries/cfto-indian-ocean-purse-seine-skipjack-fishery/@@view" TargetMode="External"/><Relationship Id="rId39" Type="http://schemas.openxmlformats.org/officeDocument/2006/relationships/hyperlink" Target="https://fisheries.msc.org/en/fisheries/ttkv-wcpo-skipjack-and-yellowfin-tuna-purse-seine-fishery/@@view" TargetMode="External"/><Relationship Id="rId34" Type="http://schemas.openxmlformats.org/officeDocument/2006/relationships/hyperlink" Target="https://fisheries.msc.org/en/fisheries/sathoan-french-mediterranean-bluefin-tuna-artisanal-longline-and-handline-fishery/" TargetMode="External"/><Relationship Id="rId50" Type="http://schemas.openxmlformats.org/officeDocument/2006/relationships/hyperlink" Target="https://fisheries.msc.org/en/fisheries/silla-wcpo-longline-tuna-fishery/@@view" TargetMode="External"/><Relationship Id="rId55" Type="http://schemas.openxmlformats.org/officeDocument/2006/relationships/hyperlink" Target="https://fisheries.msc.org/en/fisheries/dae-hae-pacific-yellowfin-bigeye-albacore-and-swordfish-longline/@@view" TargetMode="External"/><Relationship Id="rId76" Type="http://schemas.openxmlformats.org/officeDocument/2006/relationships/hyperlink" Target="https://fisheries.msc.org/en/fisheries/pan-pacific-yellowfin-bigeye-and-albacore-longline-fishery/@@view" TargetMode="External"/><Relationship Id="rId7" Type="http://schemas.openxmlformats.org/officeDocument/2006/relationships/hyperlink" Target="https://fisheries.msc.org/en/fisheries/american-samoa-eez-albacore-and-yellowfin-longline-fishery/@@view" TargetMode="External"/><Relationship Id="rId71" Type="http://schemas.openxmlformats.org/officeDocument/2006/relationships/hyperlink" Target="https://fisheries.msc.org/en/fisheries/us-pacific-tuna-group-purse-seine-fsc-and-fad-set-fishery/" TargetMode="External"/><Relationship Id="rId2" Type="http://schemas.openxmlformats.org/officeDocument/2006/relationships/hyperlink" Target="https://fisheries.msc.org/en/fisheries/aafa-and-wfoa-south-pacific-albacore-tuna/@@view" TargetMode="External"/><Relationship Id="rId29" Type="http://schemas.openxmlformats.org/officeDocument/2006/relationships/hyperlink" Target="https://fisheries.msc.org/en/fisheries/agac-four-oceans-integral-purse-seine-tropical-tuna-fishery/@@view" TargetMode="External"/><Relationship Id="rId24" Type="http://schemas.openxmlformats.org/officeDocument/2006/relationships/hyperlink" Target="https://fisheries.msc.org/en/fisheries/anabac-atlantic-unassociated-purse-seine-yellowfin-tuna/@@view" TargetMode="External"/><Relationship Id="rId40" Type="http://schemas.openxmlformats.org/officeDocument/2006/relationships/hyperlink" Target="https://fisheries.msc.org/en/fisheries/dfc-hec-western-and-central-pacific-longline-bigeye-yellowfin-and-albacore-tuna-fishery/@@view" TargetMode="External"/><Relationship Id="rId45" Type="http://schemas.openxmlformats.org/officeDocument/2006/relationships/hyperlink" Target="https://fisheries.msc.org/en/fisheries/agac-four-oceans-integral-purse-seine-tropical-tuna-fishery/@@view" TargetMode="External"/><Relationship Id="rId66" Type="http://schemas.openxmlformats.org/officeDocument/2006/relationships/hyperlink" Target="https://fisheries.msc.org/en/fisheries/australia-southern-bluefin-tuna-purse-seine-fishery/@@assessments" TargetMode="External"/><Relationship Id="rId87" Type="http://schemas.openxmlformats.org/officeDocument/2006/relationships/comments" Target="../comments1.xml"/><Relationship Id="rId61" Type="http://schemas.openxmlformats.org/officeDocument/2006/relationships/hyperlink" Target="https://fisheries.msc.org/en/fisheries/szlc-csfc-fzlc-fsm-eez-longline-yellowfin-and-bigeye-tuna/@@view" TargetMode="External"/><Relationship Id="rId82" Type="http://schemas.openxmlformats.org/officeDocument/2006/relationships/hyperlink" Target="https://fisheries.msc.org/en/fisheries/dfc-hec-western-and-central-pacific-longline-bigeye-yellowfin-and-albacore-tuna-fishery/@@view" TargetMode="Externa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s://fisheries.msc.org/en/fisheries/hawaii-longline-swordfish-bigeye-and-yellowfin-tuna-fishery/" TargetMode="External"/><Relationship Id="rId21" Type="http://schemas.openxmlformats.org/officeDocument/2006/relationships/hyperlink" Target="https://fisheries.msc.org/en/fisheries/eastern-pacific-ocean-tropical-tuna-purse-seine-tunacons-fishery/" TargetMode="External"/><Relationship Id="rId42" Type="http://schemas.openxmlformats.org/officeDocument/2006/relationships/hyperlink" Target="https://fisheries.msc.org/en/fisheries/katsuo-ippon-zuri-gyogyo-albacore-and-skipjack-pole-and-line-fishery/@@view" TargetMode="External"/><Relationship Id="rId47" Type="http://schemas.openxmlformats.org/officeDocument/2006/relationships/hyperlink" Target="https://fisheries.msc.org/en/fisheries/fortuna-pacific-longline-albacore-bigeye-and-yellowfin-tuna-fishery/@@view" TargetMode="External"/><Relationship Id="rId63" Type="http://schemas.openxmlformats.org/officeDocument/2006/relationships/hyperlink" Target="https://fisheries.msc.org/en/fisheries/south-africa-albacore-tuna-pole-and-line-fishery/@@view" TargetMode="External"/><Relationship Id="rId68" Type="http://schemas.openxmlformats.org/officeDocument/2006/relationships/hyperlink" Target="https://fisheries.msc.org/en/fisheries/australia-southern-bluefin-tuna-longline-and-minor-line-fishery/@@assessments" TargetMode="External"/><Relationship Id="rId84" Type="http://schemas.openxmlformats.org/officeDocument/2006/relationships/hyperlink" Target="https://fisheries.msc.org/en/fisheries/agac-four-oceans-integral-purse-seine-tropical-tuna-fishery/@@view" TargetMode="External"/><Relationship Id="rId16" Type="http://schemas.openxmlformats.org/officeDocument/2006/relationships/hyperlink" Target="https://fisheries.msc.org/en/fisheries/tri-marine-western-and-central-pacific-skipjack-and-yellowfin-tuna/@@view" TargetMode="External"/><Relationship Id="rId11" Type="http://schemas.openxmlformats.org/officeDocument/2006/relationships/hyperlink" Target="https://fisheries.msc.org/en/fisheries/owasebussan-co.-ltd.-north-pacific-longline-tuna-fishery-for-albacore-yellowfin-tuna-bigeye-tuna/@@view" TargetMode="External"/><Relationship Id="rId32" Type="http://schemas.openxmlformats.org/officeDocument/2006/relationships/hyperlink" Target="https://fisheries.msc.org/en/fisheries/tri-marine-atlantic-albacore-longline-fishery/" TargetMode="External"/><Relationship Id="rId37" Type="http://schemas.openxmlformats.org/officeDocument/2006/relationships/hyperlink" Target="https://fisheries.msc.org/en/fisheries/si-wcpo-skipjack-and-yellowfin-tuna-purse-seine-fishery/" TargetMode="External"/><Relationship Id="rId53" Type="http://schemas.openxmlformats.org/officeDocument/2006/relationships/hyperlink" Target="https://fisheries.msc.org/en/fisheries/atun-sostenible-tropical-pacific-yellowfin-and-skipjack-purse-seine-tuna-fishery/@@view" TargetMode="External"/><Relationship Id="rId58" Type="http://schemas.openxmlformats.org/officeDocument/2006/relationships/hyperlink" Target="https://fisheries.msc.org/en/fisheries/sajo-wcpo-and-epo-bigeye-yellowfin-and-albacore-tuna-longline/@@view" TargetMode="External"/><Relationship Id="rId74" Type="http://schemas.openxmlformats.org/officeDocument/2006/relationships/hyperlink" Target="https://fisheries.msc.org/en/fisheries/pan-pacific-yellowfin-bigeye-and-albacore-longline-fishery/@@view" TargetMode="External"/><Relationship Id="rId79" Type="http://schemas.openxmlformats.org/officeDocument/2006/relationships/hyperlink" Target="https://fisheries.msc.org/en/fisheries/kha-yang-marine-indian-ocean-longline-albacore-tuna-fishery/@@view" TargetMode="External"/><Relationship Id="rId5" Type="http://schemas.openxmlformats.org/officeDocument/2006/relationships/hyperlink" Target="https://fisheries.msc.org/en/fisheries/szlc-csfc-fzlc-cook-islands-eez-south-pacific-albacore-yellowfin-and-bigeye-longline/@@view" TargetMode="External"/><Relationship Id="rId19" Type="http://schemas.openxmlformats.org/officeDocument/2006/relationships/hyperlink" Target="https://fisheries.msc.org/en/fisheries/indonesia-pole-and-line-and-handline-skipjack-and-yellowfin-tuna-of-western-and-central-pacific-archipelagic-waters/@@view" TargetMode="External"/><Relationship Id="rId14" Type="http://schemas.openxmlformats.org/officeDocument/2006/relationships/hyperlink" Target="https://fisheries.msc.org/en/fisheries/maldives-pole-line-skipjack-tuna/@@view" TargetMode="External"/><Relationship Id="rId22" Type="http://schemas.openxmlformats.org/officeDocument/2006/relationships/hyperlink" Target="https://fisheries.msc.org/en/fisheries/eastern-pacific-purse-seine-skipjack-and-yellowfin-tuna-fishery-fsc-and-fad-set-fishery/" TargetMode="External"/><Relationship Id="rId27" Type="http://schemas.openxmlformats.org/officeDocument/2006/relationships/hyperlink" Target="https://fisheries.msc.org/en/fisheries/us-north-atlantic-swordfish-yellowfin-and-albacore-tuna-fishery/@@view" TargetMode="External"/><Relationship Id="rId30" Type="http://schemas.openxmlformats.org/officeDocument/2006/relationships/hyperlink" Target="https://fisheries.msc.org/en/fisheries/us-pacific-tuna-group-purse-seine-fsc-and-fad-set-fishery/" TargetMode="External"/><Relationship Id="rId35" Type="http://schemas.openxmlformats.org/officeDocument/2006/relationships/hyperlink" Target="https://fisheries.msc.org/en/fisheries/jc-mackintoshs-greenstick-handline-and-fishing-rod-bluefin-tuna-fishery/@@view" TargetMode="External"/><Relationship Id="rId43" Type="http://schemas.openxmlformats.org/officeDocument/2006/relationships/hyperlink" Target="https://fisheries.msc.org/en/fisheries/solomon-islands-skipjack-and-yellowfin-tuna-purse-seine-and-pole-and-line/@@view" TargetMode="External"/><Relationship Id="rId48" Type="http://schemas.openxmlformats.org/officeDocument/2006/relationships/hyperlink" Target="https://fisheries.msc.org/en/fisheries/kyowa-meiho-japan-skipjack-and-yellowfin-purse-seine-fishery/@@view" TargetMode="External"/><Relationship Id="rId56" Type="http://schemas.openxmlformats.org/officeDocument/2006/relationships/hyperlink" Target="https://fisheries.msc.org/en/fisheries/tafco-fsm-skipjack-and-yellowfin-tuna-purse-seine-fishery/@@view" TargetMode="External"/><Relationship Id="rId64" Type="http://schemas.openxmlformats.org/officeDocument/2006/relationships/hyperlink" Target="https://fisheries.msc.org/en/fisheries/north-atlantic-albacore-artisanal-fishery/@@view" TargetMode="External"/><Relationship Id="rId69" Type="http://schemas.openxmlformats.org/officeDocument/2006/relationships/hyperlink" Target="https://fisheries.msc.org/en/fisheries/ghanaian-atlantic-ocean-skipjack-and-yellowfin-tuna-purse-seine-fishery/@@assessments" TargetMode="External"/><Relationship Id="rId77" Type="http://schemas.openxmlformats.org/officeDocument/2006/relationships/hyperlink" Target="https://fisheries.msc.org/en/fisheries/mifv-rmi-eez-longline-yellowfin-and-bigeye-tuna/@@view" TargetMode="External"/><Relationship Id="rId8" Type="http://schemas.openxmlformats.org/officeDocument/2006/relationships/hyperlink" Target="https://fisheries.msc.org/en/fisheries/french-polynesia-albacore-and-yellowfin-longline-fishery/@@view" TargetMode="External"/><Relationship Id="rId51" Type="http://schemas.openxmlformats.org/officeDocument/2006/relationships/hyperlink" Target="https://fisheries.msc.org/en/fisheries/atlantic-ocean-tropical-tuna-french-purse-seine/@@view" TargetMode="External"/><Relationship Id="rId72" Type="http://schemas.openxmlformats.org/officeDocument/2006/relationships/hyperlink" Target="https://fisheries.msc.org/en/fisheries/fukuichi-western-and-central-pacific-ocean-longline-bigeye-yellowfin-and-albacore-tuna/@@view" TargetMode="External"/><Relationship Id="rId80" Type="http://schemas.openxmlformats.org/officeDocument/2006/relationships/hyperlink" Target="https://fisheries.msc.org/en/fisheries/indonesia-indian-ocean-tuna-and-large-pelagics-longline/@@view" TargetMode="External"/><Relationship Id="rId85" Type="http://schemas.openxmlformats.org/officeDocument/2006/relationships/vmlDrawing" Target="../drawings/vmlDrawing2.vml"/><Relationship Id="rId3" Type="http://schemas.openxmlformats.org/officeDocument/2006/relationships/hyperlink" Target="https://fisheries.msc.org/en/fisheries/canada-highly-migratory-species-foundation-chmsf-british-columbia-albacore-tuna-north-pacific/@@view" TargetMode="External"/><Relationship Id="rId12" Type="http://schemas.openxmlformats.org/officeDocument/2006/relationships/hyperlink" Target="https://fisheries.msc.org/en/fisheries/kochi-and-miyazaki-offshore-pole-and-line-albacore-and-skipjack-fishery/@@view" TargetMode="External"/><Relationship Id="rId17" Type="http://schemas.openxmlformats.org/officeDocument/2006/relationships/hyperlink" Target="https://fisheries.msc.org/en/fisheries/png-fishing-industry-associations-purse-seine-skipjack-yellowfin-tuna-fishery/@@view" TargetMode="External"/><Relationship Id="rId25" Type="http://schemas.openxmlformats.org/officeDocument/2006/relationships/hyperlink" Target="https://fisheries.msc.org/en/fisheries/philippine-small-scale-yellowfin-tuna-thunnus-albacares-handline-fishery/" TargetMode="External"/><Relationship Id="rId33" Type="http://schemas.openxmlformats.org/officeDocument/2006/relationships/hyperlink" Target="https://fisheries.msc.org/en/fisheries/usufuku-honten-northeast-atlantic-longline-bluefin-tuna-fishery/@@view" TargetMode="External"/><Relationship Id="rId38" Type="http://schemas.openxmlformats.org/officeDocument/2006/relationships/hyperlink" Target="https://fisheries.msc.org/en/fisheries/fukuichi-western-and-central-pacific-ocean-longline-bigeye-yellowfin-and-albacore-tuna/@@view" TargetMode="External"/><Relationship Id="rId46" Type="http://schemas.openxmlformats.org/officeDocument/2006/relationships/hyperlink" Target="https://fisheries.msc.org/en/fisheries/north-west-atlantic-canada-swordfish-and-tuna/@@view" TargetMode="External"/><Relationship Id="rId59" Type="http://schemas.openxmlformats.org/officeDocument/2006/relationships/hyperlink" Target="https://fisheries.msc.org/en/fisheries/dongwon-skipjack-indian-ocean-purse-seine-fishery/@@view" TargetMode="External"/><Relationship Id="rId67" Type="http://schemas.openxmlformats.org/officeDocument/2006/relationships/hyperlink" Target="https://fisheries.msc.org/en/fisheries/consolidated-atlantic-ocean-albacore-tuna-longline-fishery/@@assessments" TargetMode="External"/><Relationship Id="rId20" Type="http://schemas.openxmlformats.org/officeDocument/2006/relationships/hyperlink" Target="https://fisheries.msc.org/en/fisheries/micronesia-skipjack-yellowfin-and-bigeye-tuna-purse-seine-fishery/@@view" TargetMode="External"/><Relationship Id="rId41" Type="http://schemas.openxmlformats.org/officeDocument/2006/relationships/hyperlink" Target="https://fisheries.msc.org/en/fisheries/tuna-alliance-atlantic-albacore-longline-fishery/@@view" TargetMode="External"/><Relationship Id="rId54" Type="http://schemas.openxmlformats.org/officeDocument/2006/relationships/hyperlink" Target="https://fisheries.msc.org/en/fisheries/pingtairong-pacific-tuna-deep-set-longline-fishery/@@view" TargetMode="External"/><Relationship Id="rId62" Type="http://schemas.openxmlformats.org/officeDocument/2006/relationships/hyperlink" Target="https://fisheries.msc.org/en/fisheries/southern-africa-sustainable-tuna-association-sasta-albacore-pole-and-line-fishery/@@view" TargetMode="External"/><Relationship Id="rId70" Type="http://schemas.openxmlformats.org/officeDocument/2006/relationships/hyperlink" Target="https://fisheries.msc.org/en/fisheries/ghanaian-atlantic-ocean-skipjack-and-yellowfin-tuna-pole-and-line-fishery/@@assessments" TargetMode="External"/><Relationship Id="rId75" Type="http://schemas.openxmlformats.org/officeDocument/2006/relationships/hyperlink" Target="https://fisheries.msc.org/en/fisheries/tropical-pacific-yellowfin-and-skipjack-free-school-purse-seine-fishery/@@view" TargetMode="External"/><Relationship Id="rId83" Type="http://schemas.openxmlformats.org/officeDocument/2006/relationships/hyperlink" Target="https://fisheries.msc.org/en/fisheries/wpsta-western-and-central-pacific-skipjack-and-yellowfin-free-school-purse-seine/@@view" TargetMode="External"/><Relationship Id="rId1" Type="http://schemas.openxmlformats.org/officeDocument/2006/relationships/hyperlink" Target="https://fisheries.msc.org/en/fisheries/aafa-and-wfoa-north-pacific-albacore-tuna/@@view" TargetMode="External"/><Relationship Id="rId6" Type="http://schemas.openxmlformats.org/officeDocument/2006/relationships/hyperlink" Target="https://fisheries.msc.org/en/fisheries/japanese-pole-and-line-skipjack-and-albacore-tuna-fishery/@@view" TargetMode="External"/><Relationship Id="rId15" Type="http://schemas.openxmlformats.org/officeDocument/2006/relationships/hyperlink" Target="https://fisheries.msc.org/en/fisheries/pna-western-and-central-pacific-skipjack-and-yellowfin-unassociated-non-fad-set-tuna-purse-seine/@@view" TargetMode="External"/><Relationship Id="rId23" Type="http://schemas.openxmlformats.org/officeDocument/2006/relationships/hyperlink" Target="https://fisheries.msc.org/en/fisheries/fiji-albacore-yellowfin-and-bigeye-tuna-longline/@@view" TargetMode="External"/><Relationship Id="rId28" Type="http://schemas.openxmlformats.org/officeDocument/2006/relationships/hyperlink" Target="https://fisheries.msc.org/en/fisheries/agac-four-oceans-integral-purse-seine-tropical-tuna-fishery/@@view" TargetMode="External"/><Relationship Id="rId36" Type="http://schemas.openxmlformats.org/officeDocument/2006/relationships/hyperlink" Target="https://fisheries.msc.org/en/fisheries/tri-marine-pacific-ocean-longline-tuna-fishery/@@assessments" TargetMode="External"/><Relationship Id="rId49" Type="http://schemas.openxmlformats.org/officeDocument/2006/relationships/hyperlink" Target="https://fisheries.msc.org/en/fisheries/silla-nfcd-wcpo-purse-seine-tuna-fishery/@@view" TargetMode="External"/><Relationship Id="rId57" Type="http://schemas.openxmlformats.org/officeDocument/2006/relationships/hyperlink" Target="https://fisheries.msc.org/en/fisheries/consolidated-atlantic-ocean-albacore-tuna-longline-fishery/@@view" TargetMode="External"/><Relationship Id="rId10" Type="http://schemas.openxmlformats.org/officeDocument/2006/relationships/hyperlink" Target="https://fisheries.msc.org/en/fisheries/australian-eastern-tuna-and-billfish-fishery-albacore-tuna-yellowfin-tuna-bigeye-tuna-and-swordfish/@@view" TargetMode="External"/><Relationship Id="rId31" Type="http://schemas.openxmlformats.org/officeDocument/2006/relationships/hyperlink" Target="https://fisheries.msc.org/en/fisheries/nauru-skipjack-yellowfin-and-bigeye-tuna-purse-seine-fishery/" TargetMode="External"/><Relationship Id="rId44" Type="http://schemas.openxmlformats.org/officeDocument/2006/relationships/hyperlink" Target="https://fisheries.msc.org/en/fisheries/agac-four-oceans-integral-purse-seine-tropical-tuna-fishery/@@view" TargetMode="External"/><Relationship Id="rId52" Type="http://schemas.openxmlformats.org/officeDocument/2006/relationships/hyperlink" Target="https://fisheries.msc.org/en/fisheries/anabac-indian-ocean-purse-seine-skipjack-fishery/@@view" TargetMode="External"/><Relationship Id="rId60" Type="http://schemas.openxmlformats.org/officeDocument/2006/relationships/hyperlink" Target="https://fisheries.msc.org/en/fisheries/capsen-grand-bleu-atlantic-ocean-purse-seine-skipjack-and-yellowfin-tuna-fishery/@@view" TargetMode="External"/><Relationship Id="rId65" Type="http://schemas.openxmlformats.org/officeDocument/2006/relationships/hyperlink" Target="https://fisheries.msc.org/en/fisheries/szlc-csfc-fzlc-fsm-eez-longline-yellowfin-and-bigeye-tuna/@@view" TargetMode="External"/><Relationship Id="rId73" Type="http://schemas.openxmlformats.org/officeDocument/2006/relationships/hyperlink" Target="https://fisheries.msc.org/en/fisheries/eastern-pacific-ocean-tropical-tuna-purse-seine-tunacons-fishery/" TargetMode="External"/><Relationship Id="rId78" Type="http://schemas.openxmlformats.org/officeDocument/2006/relationships/hyperlink" Target="https://fisheries.msc.org/en/fisheries/agac-four-oceans-integral-purse-seine-tropical-tuna-fishery/@@view" TargetMode="External"/><Relationship Id="rId81" Type="http://schemas.openxmlformats.org/officeDocument/2006/relationships/hyperlink" Target="https://fisheries.msc.org/en/fisheries/dakartuna-atlantic-pole-and-line-tuna-fishery/@@view" TargetMode="External"/><Relationship Id="rId86" Type="http://schemas.openxmlformats.org/officeDocument/2006/relationships/table" Target="../tables/table2.xml"/><Relationship Id="rId4" Type="http://schemas.openxmlformats.org/officeDocument/2006/relationships/hyperlink" Target="https://fisheries.msc.org/en/fisheries/new-zealand-albacore-tuna-troll/@@view" TargetMode="External"/><Relationship Id="rId9" Type="http://schemas.openxmlformats.org/officeDocument/2006/relationships/hyperlink" Target="https://fisheries.msc.org/en/fisheries/kiribati-albacore-bigeye-and-yellowfin-tuna-longline-fishery/@@view" TargetMode="External"/><Relationship Id="rId13" Type="http://schemas.openxmlformats.org/officeDocument/2006/relationships/hyperlink" Target="https://fisheries.msc.org/en/fisheries/agac-four-oceans-integral-purse-seine-tropical-tuna-fishery/@@view" TargetMode="External"/><Relationship Id="rId18" Type="http://schemas.openxmlformats.org/officeDocument/2006/relationships/hyperlink" Target="https://fisheries.msc.org/en/fisheries/cfto-indian-ocean-purse-seine-skipjack-fishery/@@view" TargetMode="External"/><Relationship Id="rId39" Type="http://schemas.openxmlformats.org/officeDocument/2006/relationships/hyperlink" Target="https://fisheries.msc.org/en/fisheries/ttkv-wcpo-skipjack-and-yellowfin-tuna-purse-seine-fishery/@@view" TargetMode="External"/><Relationship Id="rId34" Type="http://schemas.openxmlformats.org/officeDocument/2006/relationships/hyperlink" Target="https://fisheries.msc.org/en/fisheries/sathoan-french-mediterranean-bluefin-tuna-artisanal-longline-and-handline-fishery/" TargetMode="External"/><Relationship Id="rId50" Type="http://schemas.openxmlformats.org/officeDocument/2006/relationships/hyperlink" Target="https://fisheries.msc.org/en/fisheries/silla-wcpo-longline-tuna-fishery/@@view" TargetMode="External"/><Relationship Id="rId55" Type="http://schemas.openxmlformats.org/officeDocument/2006/relationships/hyperlink" Target="https://fisheries.msc.org/en/fisheries/dae-hae-pacific-yellowfin-bigeye-albacore-and-swordfish-longline/@@view" TargetMode="External"/><Relationship Id="rId76" Type="http://schemas.openxmlformats.org/officeDocument/2006/relationships/hyperlink" Target="https://fisheries.msc.org/en/fisheries/tropical-pacific-yellowfin-and-skipjack-free-school-purse-seine-fishery/@@view" TargetMode="External"/><Relationship Id="rId7" Type="http://schemas.openxmlformats.org/officeDocument/2006/relationships/hyperlink" Target="https://fisheries.msc.org/en/fisheries/american-samoa-eez-albacore-and-yellowfin-longline-fishery/@@view" TargetMode="External"/><Relationship Id="rId71" Type="http://schemas.openxmlformats.org/officeDocument/2006/relationships/hyperlink" Target="https://fisheries.msc.org/en/fisheries/us-pacific-tuna-group-purse-seine-fsc-and-fad-set-fishery/" TargetMode="External"/><Relationship Id="rId2" Type="http://schemas.openxmlformats.org/officeDocument/2006/relationships/hyperlink" Target="https://fisheries.msc.org/en/fisheries/aafa-and-wfoa-south-pacific-albacore-tuna/@@view" TargetMode="External"/><Relationship Id="rId29" Type="http://schemas.openxmlformats.org/officeDocument/2006/relationships/hyperlink" Target="https://fisheries.msc.org/en/fisheries/agac-four-oceans-integral-purse-seine-tropical-tuna-fishery/@@view" TargetMode="External"/><Relationship Id="rId24" Type="http://schemas.openxmlformats.org/officeDocument/2006/relationships/hyperlink" Target="https://fisheries.msc.org/en/fisheries/anabac-atlantic-unassociated-purse-seine-yellowfin-tuna/@@view" TargetMode="External"/><Relationship Id="rId40" Type="http://schemas.openxmlformats.org/officeDocument/2006/relationships/hyperlink" Target="https://fisheries.msc.org/en/fisheries/dfc-hec-western-and-central-pacific-longline-bigeye-yellowfin-and-albacore-tuna-fishery/@@view" TargetMode="External"/><Relationship Id="rId45" Type="http://schemas.openxmlformats.org/officeDocument/2006/relationships/hyperlink" Target="https://fisheries.msc.org/en/fisheries/agac-four-oceans-integral-purse-seine-tropical-tuna-fishery/@@view" TargetMode="External"/><Relationship Id="rId66" Type="http://schemas.openxmlformats.org/officeDocument/2006/relationships/hyperlink" Target="https://fisheries.msc.org/en/fisheries/australia-southern-bluefin-tuna-purse-seine-fishery/@@assessments" TargetMode="External"/><Relationship Id="rId87" Type="http://schemas.openxmlformats.org/officeDocument/2006/relationships/comments" Target="../comments2.xml"/><Relationship Id="rId61" Type="http://schemas.openxmlformats.org/officeDocument/2006/relationships/hyperlink" Target="https://fisheries.msc.org/en/fisheries/szlc-csfc-fzlc-fsm-eez-longline-yellowfin-and-bigeye-tuna/@@view" TargetMode="External"/><Relationship Id="rId82" Type="http://schemas.openxmlformats.org/officeDocument/2006/relationships/hyperlink" Target="https://fisheries.msc.org/en/fisheries/dfc-hec-western-and-central-pacific-longline-bigeye-yellowfin-and-albacore-tuna-fishery/@@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0DE55-6A99-4AB8-80F8-E80CD80B5EA4}">
  <dimension ref="A1:B63"/>
  <sheetViews>
    <sheetView workbookViewId="0"/>
  </sheetViews>
  <sheetFormatPr baseColWidth="10" defaultColWidth="8.7265625" defaultRowHeight="14.5" x14ac:dyDescent="0.35"/>
  <sheetData>
    <row r="1" spans="1:2" x14ac:dyDescent="0.35">
      <c r="A1" t="s">
        <v>262</v>
      </c>
    </row>
    <row r="2" spans="1:2" x14ac:dyDescent="0.35">
      <c r="A2" t="s">
        <v>263</v>
      </c>
      <c r="B2">
        <v>2021</v>
      </c>
    </row>
    <row r="3" spans="1:2" x14ac:dyDescent="0.35">
      <c r="A3" t="s">
        <v>264</v>
      </c>
      <c r="B3">
        <v>2021</v>
      </c>
    </row>
    <row r="4" spans="1:2" x14ac:dyDescent="0.35">
      <c r="A4" t="s">
        <v>265</v>
      </c>
      <c r="B4">
        <v>2022</v>
      </c>
    </row>
    <row r="5" spans="1:2" x14ac:dyDescent="0.35">
      <c r="A5" t="s">
        <v>266</v>
      </c>
    </row>
    <row r="6" spans="1:2" x14ac:dyDescent="0.35">
      <c r="A6" t="s">
        <v>267</v>
      </c>
      <c r="B6">
        <v>2021</v>
      </c>
    </row>
    <row r="7" spans="1:2" x14ac:dyDescent="0.35">
      <c r="A7" t="s">
        <v>268</v>
      </c>
      <c r="B7">
        <v>2023</v>
      </c>
    </row>
    <row r="8" spans="1:2" x14ac:dyDescent="0.35">
      <c r="A8" t="s">
        <v>269</v>
      </c>
      <c r="B8">
        <v>2022</v>
      </c>
    </row>
    <row r="9" spans="1:2" x14ac:dyDescent="0.35">
      <c r="A9" t="s">
        <v>270</v>
      </c>
      <c r="B9">
        <v>2023</v>
      </c>
    </row>
    <row r="10" spans="1:2" x14ac:dyDescent="0.35">
      <c r="A10" t="s">
        <v>271</v>
      </c>
      <c r="B10">
        <v>2021</v>
      </c>
    </row>
    <row r="11" spans="1:2" x14ac:dyDescent="0.35">
      <c r="A11" t="s">
        <v>272</v>
      </c>
      <c r="B11">
        <v>2022</v>
      </c>
    </row>
    <row r="12" spans="1:2" x14ac:dyDescent="0.35">
      <c r="A12" t="s">
        <v>273</v>
      </c>
      <c r="B12">
        <v>2021</v>
      </c>
    </row>
    <row r="13" spans="1:2" x14ac:dyDescent="0.35">
      <c r="A13" t="s">
        <v>274</v>
      </c>
    </row>
    <row r="14" spans="1:2" x14ac:dyDescent="0.35">
      <c r="A14" t="s">
        <v>275</v>
      </c>
      <c r="B14">
        <v>2023</v>
      </c>
    </row>
    <row r="15" spans="1:2" x14ac:dyDescent="0.35">
      <c r="A15" t="s">
        <v>276</v>
      </c>
      <c r="B15">
        <v>2023</v>
      </c>
    </row>
    <row r="16" spans="1:2" x14ac:dyDescent="0.35">
      <c r="A16" t="s">
        <v>277</v>
      </c>
      <c r="B16" t="s">
        <v>234</v>
      </c>
    </row>
    <row r="17" spans="1:2" x14ac:dyDescent="0.35">
      <c r="A17" t="s">
        <v>278</v>
      </c>
      <c r="B17">
        <v>2023</v>
      </c>
    </row>
    <row r="18" spans="1:2" x14ac:dyDescent="0.35">
      <c r="A18" t="s">
        <v>279</v>
      </c>
      <c r="B18">
        <v>2022</v>
      </c>
    </row>
    <row r="19" spans="1:2" x14ac:dyDescent="0.35">
      <c r="A19" t="s">
        <v>280</v>
      </c>
    </row>
    <row r="20" spans="1:2" x14ac:dyDescent="0.35">
      <c r="A20" t="s">
        <v>281</v>
      </c>
      <c r="B20">
        <v>2020</v>
      </c>
    </row>
    <row r="21" spans="1:2" x14ac:dyDescent="0.35">
      <c r="A21" t="s">
        <v>282</v>
      </c>
      <c r="B21">
        <v>2020</v>
      </c>
    </row>
    <row r="22" spans="1:2" x14ac:dyDescent="0.35">
      <c r="A22" t="s">
        <v>283</v>
      </c>
      <c r="B22">
        <v>2020</v>
      </c>
    </row>
    <row r="23" spans="1:2" x14ac:dyDescent="0.35">
      <c r="A23" t="s">
        <v>284</v>
      </c>
    </row>
    <row r="24" spans="1:2" x14ac:dyDescent="0.35">
      <c r="A24" t="s">
        <v>285</v>
      </c>
      <c r="B24">
        <v>2022</v>
      </c>
    </row>
    <row r="25" spans="1:2" x14ac:dyDescent="0.35">
      <c r="A25" t="s">
        <v>286</v>
      </c>
      <c r="B25">
        <v>2021</v>
      </c>
    </row>
    <row r="26" spans="1:2" x14ac:dyDescent="0.35">
      <c r="A26" t="s">
        <v>287</v>
      </c>
      <c r="B26" t="s">
        <v>247</v>
      </c>
    </row>
    <row r="27" spans="1:2" x14ac:dyDescent="0.35">
      <c r="A27" t="s">
        <v>288</v>
      </c>
      <c r="B27">
        <v>2020</v>
      </c>
    </row>
    <row r="28" spans="1:2" x14ac:dyDescent="0.35">
      <c r="A28" t="s">
        <v>289</v>
      </c>
      <c r="B28">
        <v>2023</v>
      </c>
    </row>
    <row r="29" spans="1:2" x14ac:dyDescent="0.35">
      <c r="A29" t="s">
        <v>290</v>
      </c>
      <c r="B29">
        <v>2022</v>
      </c>
    </row>
    <row r="30" spans="1:2" x14ac:dyDescent="0.35">
      <c r="A30" t="s">
        <v>291</v>
      </c>
      <c r="B30">
        <v>2022</v>
      </c>
    </row>
    <row r="31" spans="1:2" x14ac:dyDescent="0.35">
      <c r="A31" t="s">
        <v>292</v>
      </c>
      <c r="B31">
        <v>2021</v>
      </c>
    </row>
    <row r="32" spans="1:2" x14ac:dyDescent="0.35">
      <c r="A32" t="s">
        <v>293</v>
      </c>
      <c r="B32">
        <v>2023</v>
      </c>
    </row>
    <row r="33" spans="1:2" x14ac:dyDescent="0.35">
      <c r="A33" t="s">
        <v>294</v>
      </c>
      <c r="B33">
        <v>2020</v>
      </c>
    </row>
    <row r="34" spans="1:2" x14ac:dyDescent="0.35">
      <c r="A34" t="s">
        <v>295</v>
      </c>
      <c r="B34">
        <v>2013</v>
      </c>
    </row>
    <row r="35" spans="1:2" x14ac:dyDescent="0.35">
      <c r="A35" t="s">
        <v>296</v>
      </c>
      <c r="B35">
        <v>2022</v>
      </c>
    </row>
    <row r="36" spans="1:2" x14ac:dyDescent="0.35">
      <c r="A36" t="s">
        <v>297</v>
      </c>
      <c r="B36">
        <v>2023</v>
      </c>
    </row>
    <row r="37" spans="1:2" x14ac:dyDescent="0.35">
      <c r="A37" t="s">
        <v>298</v>
      </c>
      <c r="B37">
        <v>2021</v>
      </c>
    </row>
    <row r="38" spans="1:2" x14ac:dyDescent="0.35">
      <c r="A38" t="s">
        <v>299</v>
      </c>
      <c r="B38">
        <v>2023</v>
      </c>
    </row>
    <row r="39" spans="1:2" x14ac:dyDescent="0.35">
      <c r="A39" t="s">
        <v>300</v>
      </c>
      <c r="B39">
        <v>2020</v>
      </c>
    </row>
    <row r="40" spans="1:2" x14ac:dyDescent="0.35">
      <c r="A40" t="s">
        <v>301</v>
      </c>
    </row>
    <row r="41" spans="1:2" x14ac:dyDescent="0.35">
      <c r="A41" t="s">
        <v>302</v>
      </c>
      <c r="B41">
        <v>2022</v>
      </c>
    </row>
    <row r="42" spans="1:2" x14ac:dyDescent="0.35">
      <c r="A42" t="s">
        <v>303</v>
      </c>
      <c r="B42">
        <v>2021</v>
      </c>
    </row>
    <row r="43" spans="1:2" x14ac:dyDescent="0.35">
      <c r="A43" t="s">
        <v>304</v>
      </c>
      <c r="B43">
        <v>2023</v>
      </c>
    </row>
    <row r="44" spans="1:2" x14ac:dyDescent="0.35">
      <c r="A44" t="s">
        <v>305</v>
      </c>
      <c r="B44">
        <v>2020</v>
      </c>
    </row>
    <row r="45" spans="1:2" x14ac:dyDescent="0.35">
      <c r="A45" t="s">
        <v>306</v>
      </c>
    </row>
    <row r="46" spans="1:2" x14ac:dyDescent="0.35">
      <c r="A46" t="s">
        <v>307</v>
      </c>
      <c r="B46">
        <v>2019</v>
      </c>
    </row>
    <row r="47" spans="1:2" x14ac:dyDescent="0.35">
      <c r="A47" t="s">
        <v>308</v>
      </c>
      <c r="B47">
        <v>2020</v>
      </c>
    </row>
    <row r="48" spans="1:2" x14ac:dyDescent="0.35">
      <c r="A48" t="s">
        <v>309</v>
      </c>
      <c r="B48">
        <v>2022</v>
      </c>
    </row>
    <row r="49" spans="1:2" x14ac:dyDescent="0.35">
      <c r="A49" t="s">
        <v>310</v>
      </c>
      <c r="B49">
        <v>2021</v>
      </c>
    </row>
    <row r="50" spans="1:2" x14ac:dyDescent="0.35">
      <c r="A50" t="s">
        <v>311</v>
      </c>
    </row>
    <row r="51" spans="1:2" x14ac:dyDescent="0.35">
      <c r="A51" t="s">
        <v>312</v>
      </c>
      <c r="B51">
        <v>2022</v>
      </c>
    </row>
    <row r="52" spans="1:2" x14ac:dyDescent="0.35">
      <c r="A52" t="s">
        <v>313</v>
      </c>
    </row>
    <row r="53" spans="1:2" x14ac:dyDescent="0.35">
      <c r="A53" t="s">
        <v>314</v>
      </c>
      <c r="B53">
        <v>2023</v>
      </c>
    </row>
    <row r="54" spans="1:2" x14ac:dyDescent="0.35">
      <c r="A54" t="s">
        <v>315</v>
      </c>
      <c r="B54">
        <v>2023</v>
      </c>
    </row>
    <row r="55" spans="1:2" x14ac:dyDescent="0.35">
      <c r="A55" t="s">
        <v>316</v>
      </c>
    </row>
    <row r="56" spans="1:2" x14ac:dyDescent="0.35">
      <c r="A56" t="s">
        <v>317</v>
      </c>
    </row>
    <row r="57" spans="1:2" x14ac:dyDescent="0.35">
      <c r="A57" t="s">
        <v>318</v>
      </c>
      <c r="B57">
        <v>2010</v>
      </c>
    </row>
    <row r="58" spans="1:2" x14ac:dyDescent="0.35">
      <c r="A58" t="s">
        <v>319</v>
      </c>
      <c r="B58">
        <v>2020</v>
      </c>
    </row>
    <row r="59" spans="1:2" x14ac:dyDescent="0.35">
      <c r="A59" t="s">
        <v>320</v>
      </c>
      <c r="B59">
        <v>2021</v>
      </c>
    </row>
    <row r="60" spans="1:2" x14ac:dyDescent="0.35">
      <c r="A60" t="s">
        <v>321</v>
      </c>
      <c r="B60">
        <v>2023</v>
      </c>
    </row>
    <row r="61" spans="1:2" x14ac:dyDescent="0.35">
      <c r="A61" t="s">
        <v>322</v>
      </c>
      <c r="B61">
        <v>2020</v>
      </c>
    </row>
    <row r="62" spans="1:2" x14ac:dyDescent="0.35">
      <c r="A62" t="s">
        <v>323</v>
      </c>
      <c r="B62">
        <v>2022</v>
      </c>
    </row>
    <row r="63" spans="1:2" x14ac:dyDescent="0.35">
      <c r="A63" t="s">
        <v>324</v>
      </c>
      <c r="B63">
        <v>2019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38E62-2069-43B4-B55E-539D14C12292}">
  <sheetPr codeName="Sheet2"/>
  <dimension ref="A1:Q85"/>
  <sheetViews>
    <sheetView workbookViewId="0">
      <pane xSplit="2" ySplit="1" topLeftCell="J70" activePane="bottomRight" state="frozen"/>
      <selection pane="topRight" activeCell="C1" sqref="C1"/>
      <selection pane="bottomLeft" activeCell="A2" sqref="A2"/>
      <selection pane="bottomRight" activeCell="K2" sqref="K2:K85"/>
    </sheetView>
  </sheetViews>
  <sheetFormatPr baseColWidth="10" defaultColWidth="8.7265625" defaultRowHeight="14.5" x14ac:dyDescent="0.35"/>
  <cols>
    <col min="1" max="1" width="13" customWidth="1"/>
    <col min="2" max="2" width="67.81640625" customWidth="1"/>
    <col min="3" max="3" width="19.7265625" customWidth="1"/>
    <col min="4" max="4" width="14.26953125" customWidth="1"/>
    <col min="5" max="5" width="11" customWidth="1"/>
    <col min="6" max="6" width="17.54296875" customWidth="1"/>
    <col min="7" max="7" width="13.54296875" customWidth="1"/>
    <col min="8" max="8" width="14.7265625" customWidth="1"/>
    <col min="9" max="9" width="21.1796875" customWidth="1"/>
    <col min="10" max="10" width="14.81640625" customWidth="1"/>
    <col min="11" max="11" width="13.7265625" customWidth="1"/>
    <col min="12" max="12" width="11.6328125" customWidth="1"/>
    <col min="13" max="14" width="21.26953125" customWidth="1"/>
    <col min="15" max="15" width="19.90625" customWidth="1"/>
    <col min="16" max="16" width="12" customWidth="1"/>
    <col min="17" max="17" width="11.08984375" customWidth="1"/>
  </cols>
  <sheetData>
    <row r="1" spans="1:17" x14ac:dyDescent="0.35">
      <c r="A1" s="20" t="s">
        <v>139</v>
      </c>
      <c r="B1" s="20" t="s">
        <v>0</v>
      </c>
      <c r="C1" s="20" t="s">
        <v>1</v>
      </c>
      <c r="D1" s="20" t="s">
        <v>2</v>
      </c>
      <c r="E1" s="20" t="s">
        <v>151</v>
      </c>
      <c r="F1" s="20" t="s">
        <v>155</v>
      </c>
      <c r="G1" s="20" t="s">
        <v>152</v>
      </c>
      <c r="H1" s="20" t="s">
        <v>153</v>
      </c>
      <c r="I1" s="20" t="s">
        <v>237</v>
      </c>
      <c r="J1" s="20" t="s">
        <v>154</v>
      </c>
      <c r="K1" s="20" t="s">
        <v>3</v>
      </c>
      <c r="L1" s="20" t="s">
        <v>146</v>
      </c>
      <c r="M1" s="20" t="s">
        <v>156</v>
      </c>
      <c r="N1" s="20" t="s">
        <v>4</v>
      </c>
      <c r="O1" s="20" t="s">
        <v>5</v>
      </c>
      <c r="P1" s="20" t="s">
        <v>6</v>
      </c>
      <c r="Q1" s="20" t="s">
        <v>7</v>
      </c>
    </row>
    <row r="2" spans="1:17" x14ac:dyDescent="0.35">
      <c r="A2" s="3" t="s">
        <v>104</v>
      </c>
      <c r="B2" s="21" t="s">
        <v>8</v>
      </c>
      <c r="C2" s="7" t="s">
        <v>9</v>
      </c>
      <c r="D2" s="7" t="s">
        <v>10</v>
      </c>
      <c r="E2" s="1">
        <v>7317</v>
      </c>
      <c r="F2" s="1"/>
      <c r="G2" s="1"/>
      <c r="H2" s="1"/>
      <c r="I2" s="1"/>
      <c r="J2" s="1"/>
      <c r="K2" s="1">
        <f>SUM('Master table catch from report'!$E2:$J2)</f>
        <v>7317</v>
      </c>
      <c r="L2" s="7">
        <v>2020</v>
      </c>
      <c r="M2" s="19">
        <v>47251</v>
      </c>
      <c r="N2" s="7" t="s">
        <v>200</v>
      </c>
      <c r="O2" s="7" t="s">
        <v>12</v>
      </c>
      <c r="P2" s="7">
        <v>43.897892390000003</v>
      </c>
      <c r="Q2" s="7">
        <v>-141.50390630000001</v>
      </c>
    </row>
    <row r="3" spans="1:17" x14ac:dyDescent="0.35">
      <c r="A3" s="3" t="s">
        <v>105</v>
      </c>
      <c r="B3" s="21" t="s">
        <v>13</v>
      </c>
      <c r="C3" s="7" t="s">
        <v>9</v>
      </c>
      <c r="D3" s="7" t="s">
        <v>10</v>
      </c>
      <c r="E3" s="1">
        <v>1913</v>
      </c>
      <c r="F3" s="1"/>
      <c r="G3" s="1"/>
      <c r="H3" s="1"/>
      <c r="I3" s="1"/>
      <c r="J3" s="1"/>
      <c r="K3" s="1">
        <f>SUM('Master table catch from report'!$E3:$J3)</f>
        <v>1913</v>
      </c>
      <c r="L3" s="7">
        <v>2020</v>
      </c>
      <c r="M3" s="19">
        <v>47251</v>
      </c>
      <c r="N3" s="7" t="s">
        <v>200</v>
      </c>
      <c r="O3" s="7" t="s">
        <v>14</v>
      </c>
      <c r="P3" s="7">
        <v>-38.410558250000001</v>
      </c>
      <c r="Q3" s="7">
        <v>-129.90234380000001</v>
      </c>
    </row>
    <row r="4" spans="1:17" x14ac:dyDescent="0.35">
      <c r="A4" s="3" t="s">
        <v>106</v>
      </c>
      <c r="B4" s="21" t="s">
        <v>16</v>
      </c>
      <c r="C4" s="7" t="s">
        <v>9</v>
      </c>
      <c r="D4" s="7" t="s">
        <v>18</v>
      </c>
      <c r="E4" s="1"/>
      <c r="F4" s="1"/>
      <c r="G4" s="1">
        <v>8068</v>
      </c>
      <c r="H4" s="1">
        <v>17176</v>
      </c>
      <c r="I4" s="1"/>
      <c r="J4" s="1">
        <v>2577</v>
      </c>
      <c r="K4" s="1">
        <f>SUM('Master table catch from report'!$E4:$J4)</f>
        <v>27821</v>
      </c>
      <c r="L4" s="7">
        <v>2022</v>
      </c>
      <c r="M4" s="19">
        <v>46462</v>
      </c>
      <c r="N4" s="7" t="s">
        <v>19</v>
      </c>
      <c r="O4" s="7" t="s">
        <v>20</v>
      </c>
      <c r="P4" s="22">
        <v>-0.4</v>
      </c>
      <c r="Q4" s="22">
        <v>132.6</v>
      </c>
    </row>
    <row r="5" spans="1:17" x14ac:dyDescent="0.35">
      <c r="A5" s="3" t="s">
        <v>106</v>
      </c>
      <c r="B5" s="21" t="s">
        <v>16</v>
      </c>
      <c r="C5" s="7" t="s">
        <v>9</v>
      </c>
      <c r="D5" s="7" t="s">
        <v>18</v>
      </c>
      <c r="E5" s="1"/>
      <c r="F5" s="1"/>
      <c r="G5" s="1">
        <v>12068</v>
      </c>
      <c r="H5" s="1">
        <v>58847</v>
      </c>
      <c r="I5" s="1"/>
      <c r="J5" s="1">
        <v>19696</v>
      </c>
      <c r="K5" s="1">
        <f>SUM('Master table catch from report'!$E5:$J5)</f>
        <v>90611</v>
      </c>
      <c r="L5" s="7">
        <v>2022</v>
      </c>
      <c r="M5" s="19">
        <v>46462</v>
      </c>
      <c r="N5" s="7" t="s">
        <v>19</v>
      </c>
      <c r="O5" s="7" t="s">
        <v>21</v>
      </c>
      <c r="P5" s="22">
        <v>-0.4</v>
      </c>
      <c r="Q5" s="22">
        <v>-147.5</v>
      </c>
    </row>
    <row r="6" spans="1:17" x14ac:dyDescent="0.35">
      <c r="A6" s="3" t="s">
        <v>106</v>
      </c>
      <c r="B6" s="21" t="s">
        <v>16</v>
      </c>
      <c r="C6" s="7" t="s">
        <v>9</v>
      </c>
      <c r="D6" s="7" t="s">
        <v>18</v>
      </c>
      <c r="E6" s="1"/>
      <c r="F6" s="1"/>
      <c r="G6" s="1"/>
      <c r="H6" s="1">
        <v>100562</v>
      </c>
      <c r="I6" s="1"/>
      <c r="J6" s="1"/>
      <c r="K6" s="1">
        <f>SUM('Master table catch from report'!$E6:$J6)</f>
        <v>100562</v>
      </c>
      <c r="L6" s="7">
        <v>2022</v>
      </c>
      <c r="M6" s="19">
        <v>46462</v>
      </c>
      <c r="N6" s="7" t="s">
        <v>19</v>
      </c>
      <c r="O6" s="7" t="s">
        <v>22</v>
      </c>
      <c r="P6" s="7">
        <v>-7.0920597269999996</v>
      </c>
      <c r="Q6" s="7">
        <v>66.650621775000005</v>
      </c>
    </row>
    <row r="7" spans="1:17" x14ac:dyDescent="0.35">
      <c r="A7" s="3" t="s">
        <v>106</v>
      </c>
      <c r="B7" s="21" t="s">
        <v>16</v>
      </c>
      <c r="C7" s="7" t="s">
        <v>195</v>
      </c>
      <c r="D7" s="7" t="s">
        <v>18</v>
      </c>
      <c r="E7" s="1"/>
      <c r="F7" s="1"/>
      <c r="G7" s="1">
        <f>6143.25*2</f>
        <v>12286.5</v>
      </c>
      <c r="H7" s="1"/>
      <c r="I7" s="1"/>
      <c r="J7" s="1"/>
      <c r="K7" s="1">
        <f>SUM('Master table catch from report'!$E7:$J7)</f>
        <v>12286.5</v>
      </c>
      <c r="L7" s="7">
        <v>2022</v>
      </c>
      <c r="M7" s="19">
        <v>46462</v>
      </c>
      <c r="N7" s="7" t="s">
        <v>19</v>
      </c>
      <c r="O7" s="7" t="s">
        <v>22</v>
      </c>
      <c r="P7" s="7">
        <v>-7.0920597269999996</v>
      </c>
      <c r="Q7" s="7">
        <v>66.650621775000005</v>
      </c>
    </row>
    <row r="8" spans="1:17" x14ac:dyDescent="0.35">
      <c r="A8" s="3" t="s">
        <v>106</v>
      </c>
      <c r="B8" s="21" t="s">
        <v>16</v>
      </c>
      <c r="C8" s="7" t="s">
        <v>17</v>
      </c>
      <c r="D8" s="7" t="s">
        <v>18</v>
      </c>
      <c r="E8" s="1"/>
      <c r="F8" s="1"/>
      <c r="G8" s="1"/>
      <c r="H8" s="1"/>
      <c r="I8" s="1"/>
      <c r="J8" s="1">
        <f>20362.2*2</f>
        <v>40724.400000000001</v>
      </c>
      <c r="K8" s="1">
        <f>SUM('Master table catch from report'!$E8:$J8)</f>
        <v>40724.400000000001</v>
      </c>
      <c r="L8" s="7">
        <v>2022</v>
      </c>
      <c r="M8" s="19">
        <v>46462</v>
      </c>
      <c r="N8" s="7" t="s">
        <v>19</v>
      </c>
      <c r="O8" s="7" t="s">
        <v>22</v>
      </c>
      <c r="P8" s="7">
        <v>-7.0920597269999996</v>
      </c>
      <c r="Q8" s="7">
        <v>66.650621775000005</v>
      </c>
    </row>
    <row r="9" spans="1:17" x14ac:dyDescent="0.35">
      <c r="A9" s="3" t="s">
        <v>106</v>
      </c>
      <c r="B9" s="21" t="s">
        <v>16</v>
      </c>
      <c r="C9" s="7" t="s">
        <v>9</v>
      </c>
      <c r="D9" s="7" t="s">
        <v>18</v>
      </c>
      <c r="E9" s="1"/>
      <c r="F9" s="1"/>
      <c r="G9" s="1"/>
      <c r="H9" s="1">
        <v>30257</v>
      </c>
      <c r="I9" s="1"/>
      <c r="J9" s="1">
        <v>21005</v>
      </c>
      <c r="K9" s="1">
        <f>SUM('Master table catch from report'!$E9:$J9)</f>
        <v>51262</v>
      </c>
      <c r="L9" s="7">
        <v>2023</v>
      </c>
      <c r="M9" s="19">
        <v>46462</v>
      </c>
      <c r="N9" s="7" t="s">
        <v>19</v>
      </c>
      <c r="O9" s="7" t="s">
        <v>23</v>
      </c>
      <c r="P9" s="22">
        <v>-7.5</v>
      </c>
      <c r="Q9" s="22">
        <v>-12.2</v>
      </c>
    </row>
    <row r="10" spans="1:17" x14ac:dyDescent="0.35">
      <c r="A10" s="3" t="s">
        <v>106</v>
      </c>
      <c r="B10" s="21" t="s">
        <v>16</v>
      </c>
      <c r="C10" s="7" t="s">
        <v>195</v>
      </c>
      <c r="D10" s="7" t="s">
        <v>18</v>
      </c>
      <c r="E10" s="1"/>
      <c r="F10" s="1"/>
      <c r="G10" s="1">
        <f>5888.5*2</f>
        <v>11777</v>
      </c>
      <c r="H10" s="1"/>
      <c r="I10" s="1"/>
      <c r="J10" s="1"/>
      <c r="K10" s="1">
        <f>SUM('Master table catch from report'!$E10:$J10)</f>
        <v>11777</v>
      </c>
      <c r="L10" s="7" t="s">
        <v>254</v>
      </c>
      <c r="M10" s="19">
        <v>46462</v>
      </c>
      <c r="N10" s="7" t="s">
        <v>19</v>
      </c>
      <c r="O10" s="7" t="s">
        <v>23</v>
      </c>
      <c r="P10" s="22">
        <v>-7.5</v>
      </c>
      <c r="Q10" s="22">
        <v>-12.2</v>
      </c>
    </row>
    <row r="11" spans="1:17" x14ac:dyDescent="0.35">
      <c r="A11" s="3" t="s">
        <v>107</v>
      </c>
      <c r="B11" s="21" t="s">
        <v>199</v>
      </c>
      <c r="C11" s="7" t="s">
        <v>9</v>
      </c>
      <c r="D11" s="7" t="s">
        <v>24</v>
      </c>
      <c r="E11" s="1">
        <v>1073</v>
      </c>
      <c r="F11" s="1"/>
      <c r="G11" s="1">
        <v>19</v>
      </c>
      <c r="H11" s="1">
        <v>39</v>
      </c>
      <c r="I11" s="1"/>
      <c r="J11" s="1">
        <v>148</v>
      </c>
      <c r="K11" s="1">
        <f>SUM('Master table catch from report'!$E11:$J11)</f>
        <v>1279</v>
      </c>
      <c r="L11" s="7">
        <v>2022</v>
      </c>
      <c r="M11" s="19">
        <v>46954</v>
      </c>
      <c r="N11" s="7" t="s">
        <v>25</v>
      </c>
      <c r="O11" s="7" t="s">
        <v>26</v>
      </c>
      <c r="P11" s="7">
        <v>-14.31854</v>
      </c>
      <c r="Q11" s="7">
        <v>-170.65761800000001</v>
      </c>
    </row>
    <row r="12" spans="1:17" x14ac:dyDescent="0.35">
      <c r="A12" s="3" t="s">
        <v>108</v>
      </c>
      <c r="B12" s="21" t="s">
        <v>27</v>
      </c>
      <c r="C12" s="7" t="s">
        <v>9</v>
      </c>
      <c r="D12" s="7" t="s">
        <v>18</v>
      </c>
      <c r="E12" s="1"/>
      <c r="F12" s="1"/>
      <c r="G12" s="1"/>
      <c r="H12" s="1">
        <v>22069</v>
      </c>
      <c r="I12" s="1"/>
      <c r="J12" s="1">
        <v>3904</v>
      </c>
      <c r="K12" s="1">
        <f>SUM('Master table catch from report'!$E12:$J12)</f>
        <v>25973</v>
      </c>
      <c r="L12" s="7">
        <v>2021</v>
      </c>
      <c r="M12" s="19">
        <v>46197</v>
      </c>
      <c r="N12" s="7" t="s">
        <v>19</v>
      </c>
      <c r="O12" s="7" t="s">
        <v>28</v>
      </c>
      <c r="P12" s="7">
        <v>25.144960999999999</v>
      </c>
      <c r="Q12" s="7">
        <v>-25.760007000000002</v>
      </c>
    </row>
    <row r="13" spans="1:17" x14ac:dyDescent="0.35">
      <c r="A13" s="4" t="s">
        <v>170</v>
      </c>
      <c r="B13" s="9" t="s">
        <v>171</v>
      </c>
      <c r="C13" s="7" t="s">
        <v>9</v>
      </c>
      <c r="D13" s="7" t="s">
        <v>172</v>
      </c>
      <c r="E13" s="1"/>
      <c r="F13" s="1"/>
      <c r="G13" s="1"/>
      <c r="H13" s="1">
        <v>31538</v>
      </c>
      <c r="I13" s="1"/>
      <c r="J13" s="1"/>
      <c r="K13" s="1">
        <f>SUM('Master table catch from report'!$E13:$J13)</f>
        <v>31538</v>
      </c>
      <c r="L13" s="7">
        <v>2022</v>
      </c>
      <c r="M13" s="19" t="s">
        <v>157</v>
      </c>
      <c r="N13" s="7" t="s">
        <v>19</v>
      </c>
      <c r="O13" s="7" t="s">
        <v>22</v>
      </c>
      <c r="P13" s="7">
        <v>-4.7548899999999996</v>
      </c>
      <c r="Q13" s="7">
        <v>55.080829999999999</v>
      </c>
    </row>
    <row r="14" spans="1:17" x14ac:dyDescent="0.35">
      <c r="A14" s="4" t="s">
        <v>189</v>
      </c>
      <c r="B14" s="12" t="s">
        <v>190</v>
      </c>
      <c r="C14" s="7" t="s">
        <v>9</v>
      </c>
      <c r="D14" s="7" t="s">
        <v>191</v>
      </c>
      <c r="E14" s="1"/>
      <c r="F14" s="1"/>
      <c r="G14" s="1"/>
      <c r="H14" s="1">
        <v>16148</v>
      </c>
      <c r="I14" s="1"/>
      <c r="J14" s="1">
        <v>12533</v>
      </c>
      <c r="K14" s="1">
        <f>SUM('Master table catch from report'!$E14:$J14)</f>
        <v>28681</v>
      </c>
      <c r="L14" s="7">
        <v>2021</v>
      </c>
      <c r="M14" s="19" t="s">
        <v>157</v>
      </c>
      <c r="N14" s="7" t="s">
        <v>35</v>
      </c>
      <c r="O14" s="7" t="s">
        <v>28</v>
      </c>
      <c r="P14" s="7">
        <v>2.9466999999999999</v>
      </c>
      <c r="Q14" s="7">
        <v>2.7364809999999999</v>
      </c>
    </row>
    <row r="15" spans="1:17" x14ac:dyDescent="0.35">
      <c r="A15" s="4" t="s">
        <v>192</v>
      </c>
      <c r="B15" s="12" t="s">
        <v>225</v>
      </c>
      <c r="C15" s="7" t="s">
        <v>9</v>
      </c>
      <c r="D15" s="7" t="s">
        <v>193</v>
      </c>
      <c r="E15" s="1"/>
      <c r="F15" s="1"/>
      <c r="G15" s="1"/>
      <c r="H15" s="1">
        <v>3004</v>
      </c>
      <c r="I15" s="1"/>
      <c r="J15" s="1">
        <v>4497</v>
      </c>
      <c r="K15" s="1">
        <f>SUM('Master table catch from report'!$E15:$J15)</f>
        <v>7501</v>
      </c>
      <c r="L15" s="7">
        <v>2021</v>
      </c>
      <c r="M15" s="19" t="s">
        <v>157</v>
      </c>
      <c r="N15" s="7" t="s">
        <v>77</v>
      </c>
      <c r="O15" s="7" t="s">
        <v>21</v>
      </c>
      <c r="P15" s="7">
        <v>-0.84464086000000005</v>
      </c>
      <c r="Q15" s="7">
        <v>-86.189325999999994</v>
      </c>
    </row>
    <row r="16" spans="1:17" x14ac:dyDescent="0.35">
      <c r="A16" s="3" t="s">
        <v>109</v>
      </c>
      <c r="B16" s="21" t="s">
        <v>29</v>
      </c>
      <c r="C16" s="7" t="s">
        <v>9</v>
      </c>
      <c r="D16" s="7" t="s">
        <v>24</v>
      </c>
      <c r="E16" s="1">
        <v>629</v>
      </c>
      <c r="F16" s="1"/>
      <c r="G16" s="1">
        <v>221</v>
      </c>
      <c r="H16" s="1"/>
      <c r="I16" s="1"/>
      <c r="J16" s="1">
        <v>1537</v>
      </c>
      <c r="K16" s="1">
        <f>SUM('Master table catch from report'!$E16:$J16)</f>
        <v>2387</v>
      </c>
      <c r="L16" s="7">
        <v>2023</v>
      </c>
      <c r="M16" s="19">
        <v>46079</v>
      </c>
      <c r="N16" s="7" t="s">
        <v>30</v>
      </c>
      <c r="O16" s="7" t="s">
        <v>26</v>
      </c>
      <c r="P16" s="7">
        <v>-26.294070999999999</v>
      </c>
      <c r="Q16" s="7">
        <v>154.90173300000001</v>
      </c>
    </row>
    <row r="17" spans="1:17" x14ac:dyDescent="0.35">
      <c r="A17" s="4" t="s">
        <v>236</v>
      </c>
      <c r="B17" s="2" t="s">
        <v>235</v>
      </c>
      <c r="C17" s="7" t="s">
        <v>17</v>
      </c>
      <c r="D17" s="7" t="s">
        <v>18</v>
      </c>
      <c r="E17" s="1"/>
      <c r="F17" s="1"/>
      <c r="G17" s="1"/>
      <c r="H17" s="1"/>
      <c r="I17" s="1"/>
      <c r="J17" s="1"/>
      <c r="K17" s="1">
        <f>SUM('Master table catch from report'!$E17:$J17)</f>
        <v>0</v>
      </c>
      <c r="L17" s="7">
        <v>2022</v>
      </c>
      <c r="M17" s="19" t="s">
        <v>157</v>
      </c>
      <c r="N17" s="7" t="s">
        <v>30</v>
      </c>
      <c r="O17" s="7" t="s">
        <v>230</v>
      </c>
      <c r="P17" s="7">
        <v>-36.263852</v>
      </c>
      <c r="Q17" s="7">
        <v>155.56544700000001</v>
      </c>
    </row>
    <row r="18" spans="1:17" x14ac:dyDescent="0.35">
      <c r="A18" s="4" t="s">
        <v>241</v>
      </c>
      <c r="B18" s="12" t="s">
        <v>240</v>
      </c>
      <c r="C18" s="7" t="s">
        <v>17</v>
      </c>
      <c r="D18" s="7" t="s">
        <v>251</v>
      </c>
      <c r="E18" s="1"/>
      <c r="F18" s="1"/>
      <c r="G18" s="1"/>
      <c r="H18" s="1"/>
      <c r="I18" s="1">
        <v>6936</v>
      </c>
      <c r="J18" s="1"/>
      <c r="K18" s="1">
        <f>SUM('Master table catch from report'!$E18:$J18)</f>
        <v>6936</v>
      </c>
      <c r="L18" s="7">
        <v>2023</v>
      </c>
      <c r="M18" s="19" t="s">
        <v>157</v>
      </c>
      <c r="N18" s="7" t="s">
        <v>30</v>
      </c>
      <c r="O18" s="7" t="s">
        <v>22</v>
      </c>
      <c r="P18" s="7">
        <v>-37.299999999999997</v>
      </c>
      <c r="Q18" s="7">
        <v>149.58000000000001</v>
      </c>
    </row>
    <row r="19" spans="1:17" x14ac:dyDescent="0.35">
      <c r="A19" s="3" t="s">
        <v>110</v>
      </c>
      <c r="B19" s="21" t="s">
        <v>31</v>
      </c>
      <c r="C19" s="7" t="s">
        <v>9</v>
      </c>
      <c r="D19" s="7" t="s">
        <v>10</v>
      </c>
      <c r="E19" s="1">
        <v>1143</v>
      </c>
      <c r="F19" s="1"/>
      <c r="G19" s="1"/>
      <c r="H19" s="1"/>
      <c r="I19" s="1"/>
      <c r="J19" s="1"/>
      <c r="K19" s="1">
        <f>SUM('Master table catch from report'!$E19:$J19)</f>
        <v>1143</v>
      </c>
      <c r="L19" s="7">
        <v>2023</v>
      </c>
      <c r="M19" s="19">
        <v>45998</v>
      </c>
      <c r="N19" s="7" t="s">
        <v>32</v>
      </c>
      <c r="O19" s="7" t="s">
        <v>33</v>
      </c>
      <c r="P19" s="22">
        <v>50</v>
      </c>
      <c r="Q19" s="7">
        <v>-141.50390630000001</v>
      </c>
    </row>
    <row r="20" spans="1:17" x14ac:dyDescent="0.35">
      <c r="A20" s="4" t="s">
        <v>220</v>
      </c>
      <c r="B20" s="12" t="s">
        <v>219</v>
      </c>
      <c r="C20" s="7" t="s">
        <v>9</v>
      </c>
      <c r="D20" s="7" t="s">
        <v>221</v>
      </c>
      <c r="E20" s="1"/>
      <c r="F20" s="1"/>
      <c r="G20" s="1"/>
      <c r="H20" s="1">
        <v>24180</v>
      </c>
      <c r="I20" s="1"/>
      <c r="J20" s="1">
        <v>6272</v>
      </c>
      <c r="K20" s="1">
        <f>SUM('Master table catch from report'!$E20:$J20)</f>
        <v>30452</v>
      </c>
      <c r="L20" s="7">
        <v>2021</v>
      </c>
      <c r="M20" s="19">
        <v>47435</v>
      </c>
      <c r="N20" s="7" t="s">
        <v>99</v>
      </c>
      <c r="O20" s="7" t="s">
        <v>100</v>
      </c>
      <c r="P20" s="7">
        <v>-18.918167</v>
      </c>
      <c r="Q20" s="7">
        <v>14.439069</v>
      </c>
    </row>
    <row r="21" spans="1:17" x14ac:dyDescent="0.35">
      <c r="A21" s="4" t="s">
        <v>212</v>
      </c>
      <c r="B21" s="12" t="s">
        <v>211</v>
      </c>
      <c r="C21" s="7" t="s">
        <v>9</v>
      </c>
      <c r="D21" s="7" t="s">
        <v>96</v>
      </c>
      <c r="E21" s="1">
        <f>3545.4+1.6</f>
        <v>3547</v>
      </c>
      <c r="F21" s="1"/>
      <c r="G21" s="1"/>
      <c r="H21" s="1"/>
      <c r="I21" s="1"/>
      <c r="J21" s="1"/>
      <c r="K21" s="1">
        <f>SUM('Master table catch from report'!$E21:$J21)</f>
        <v>3547</v>
      </c>
      <c r="L21" s="7">
        <v>2022</v>
      </c>
      <c r="M21" s="19">
        <v>47343</v>
      </c>
      <c r="N21" s="7" t="s">
        <v>64</v>
      </c>
      <c r="O21" s="7" t="s">
        <v>98</v>
      </c>
      <c r="P21" s="7">
        <v>42.636254958000002</v>
      </c>
      <c r="Q21" s="7">
        <v>-27.82184531</v>
      </c>
    </row>
    <row r="22" spans="1:17" x14ac:dyDescent="0.35">
      <c r="A22" s="4" t="s">
        <v>238</v>
      </c>
      <c r="B22" s="12" t="s">
        <v>239</v>
      </c>
      <c r="C22" s="7" t="s">
        <v>9</v>
      </c>
      <c r="D22" s="7" t="s">
        <v>96</v>
      </c>
      <c r="E22" s="1">
        <f>1300+1300</f>
        <v>2600</v>
      </c>
      <c r="F22" s="1"/>
      <c r="G22" s="1"/>
      <c r="H22" s="1"/>
      <c r="I22" s="1"/>
      <c r="J22" s="1"/>
      <c r="K22" s="1">
        <f>SUM('Master table catch from report'!$E22:$J22)</f>
        <v>2600</v>
      </c>
      <c r="L22" s="7">
        <v>2023</v>
      </c>
      <c r="M22" s="19" t="s">
        <v>157</v>
      </c>
      <c r="N22" s="7" t="s">
        <v>64</v>
      </c>
      <c r="O22" s="7" t="s">
        <v>22</v>
      </c>
      <c r="P22" s="7">
        <v>-21.447136</v>
      </c>
      <c r="Q22" s="7">
        <v>79.272293790000006</v>
      </c>
    </row>
    <row r="23" spans="1:17" x14ac:dyDescent="0.35">
      <c r="A23" s="3" t="s">
        <v>111</v>
      </c>
      <c r="B23" s="21" t="s">
        <v>34</v>
      </c>
      <c r="C23" s="7" t="s">
        <v>9</v>
      </c>
      <c r="D23" s="7" t="s">
        <v>18</v>
      </c>
      <c r="E23" s="1"/>
      <c r="F23" s="1"/>
      <c r="G23" s="1"/>
      <c r="H23" s="1">
        <f>12971+25435</f>
        <v>38406</v>
      </c>
      <c r="I23" s="1"/>
      <c r="J23" s="1"/>
      <c r="K23" s="1">
        <f>SUM('Master table catch from report'!$E23:$J23)</f>
        <v>38406</v>
      </c>
      <c r="L23" s="7">
        <v>2023</v>
      </c>
      <c r="M23" s="19">
        <v>46174</v>
      </c>
      <c r="N23" s="7" t="s">
        <v>35</v>
      </c>
      <c r="O23" s="7" t="s">
        <v>22</v>
      </c>
      <c r="P23" s="7">
        <v>-10</v>
      </c>
      <c r="Q23" s="7">
        <v>70</v>
      </c>
    </row>
    <row r="24" spans="1:17" x14ac:dyDescent="0.35">
      <c r="A24" s="4" t="s">
        <v>206</v>
      </c>
      <c r="B24" s="12" t="s">
        <v>205</v>
      </c>
      <c r="C24" s="7" t="s">
        <v>9</v>
      </c>
      <c r="D24" s="7" t="s">
        <v>207</v>
      </c>
      <c r="E24" s="1">
        <f>126.096+34.24</f>
        <v>160.33600000000001</v>
      </c>
      <c r="F24" s="1"/>
      <c r="G24" s="1">
        <f>869.255+750.96</f>
        <v>1620.2150000000001</v>
      </c>
      <c r="H24" s="1"/>
      <c r="I24" s="1"/>
      <c r="J24" s="1">
        <f>327.605+96262</f>
        <v>96589.604999999996</v>
      </c>
      <c r="K24" s="1">
        <f>SUM('Master table catch from report'!$E24:$J24)</f>
        <v>98370.156000000003</v>
      </c>
      <c r="L24" s="7">
        <v>2021</v>
      </c>
      <c r="M24" s="19">
        <v>47369</v>
      </c>
      <c r="N24" s="7" t="s">
        <v>208</v>
      </c>
      <c r="O24" s="7" t="s">
        <v>21</v>
      </c>
      <c r="P24" s="7">
        <v>5</v>
      </c>
      <c r="Q24" s="7">
        <v>-120</v>
      </c>
    </row>
    <row r="25" spans="1:17" x14ac:dyDescent="0.35">
      <c r="A25" s="4" t="s">
        <v>260</v>
      </c>
      <c r="B25" s="2" t="s">
        <v>261</v>
      </c>
      <c r="C25" s="7" t="s">
        <v>17</v>
      </c>
      <c r="D25" s="7" t="s">
        <v>15</v>
      </c>
      <c r="E25" s="1"/>
      <c r="F25" s="1"/>
      <c r="G25" s="1">
        <v>176.3</v>
      </c>
      <c r="H25" s="1">
        <v>1654.4</v>
      </c>
      <c r="I25" s="1"/>
      <c r="J25" s="1">
        <v>338.5</v>
      </c>
      <c r="K25" s="1">
        <f>SUM('Master table catch from report'!$E25:$J25)</f>
        <v>2169.1999999999998</v>
      </c>
      <c r="L25" s="7">
        <v>2023</v>
      </c>
      <c r="M25" s="19" t="s">
        <v>157</v>
      </c>
      <c r="N25" s="7" t="s">
        <v>19</v>
      </c>
      <c r="O25" s="7" t="s">
        <v>100</v>
      </c>
      <c r="P25" s="7"/>
      <c r="Q25" s="7"/>
    </row>
    <row r="26" spans="1:17" x14ac:dyDescent="0.35">
      <c r="A26" s="4" t="s">
        <v>162</v>
      </c>
      <c r="B26" s="12" t="s">
        <v>163</v>
      </c>
      <c r="C26" s="7" t="s">
        <v>9</v>
      </c>
      <c r="D26" s="7" t="s">
        <v>24</v>
      </c>
      <c r="E26" s="1">
        <v>178</v>
      </c>
      <c r="F26" s="1"/>
      <c r="G26" s="1">
        <v>1998</v>
      </c>
      <c r="H26" s="1"/>
      <c r="I26" s="1"/>
      <c r="J26" s="1">
        <v>1864</v>
      </c>
      <c r="K26" s="1">
        <f>SUM('Master table catch from report'!$E26:$J26)</f>
        <v>4040</v>
      </c>
      <c r="L26" s="7">
        <v>2020</v>
      </c>
      <c r="M26" s="19">
        <v>46932</v>
      </c>
      <c r="N26" s="7" t="s">
        <v>164</v>
      </c>
      <c r="O26" s="7" t="s">
        <v>165</v>
      </c>
      <c r="P26" s="7">
        <v>19</v>
      </c>
      <c r="Q26" s="7">
        <v>178</v>
      </c>
    </row>
    <row r="27" spans="1:17" x14ac:dyDescent="0.35">
      <c r="A27" s="4" t="s">
        <v>162</v>
      </c>
      <c r="B27" s="12" t="s">
        <v>163</v>
      </c>
      <c r="C27" s="7" t="s">
        <v>17</v>
      </c>
      <c r="D27" s="7" t="s">
        <v>96</v>
      </c>
      <c r="E27" s="1"/>
      <c r="F27" s="1"/>
      <c r="G27" s="23">
        <v>1283.2429999999999</v>
      </c>
      <c r="H27" s="1"/>
      <c r="I27" s="1"/>
      <c r="J27" s="23">
        <v>195.16399999999999</v>
      </c>
      <c r="K27" s="1">
        <f>SUM('Master table catch from report'!$E27:$J27)</f>
        <v>1478.4069999999999</v>
      </c>
      <c r="L27" s="7">
        <v>2023</v>
      </c>
      <c r="M27" s="19">
        <v>46932</v>
      </c>
      <c r="N27" s="7" t="s">
        <v>164</v>
      </c>
      <c r="O27" s="7" t="s">
        <v>165</v>
      </c>
      <c r="P27" s="7">
        <v>19</v>
      </c>
      <c r="Q27" s="7">
        <v>178</v>
      </c>
    </row>
    <row r="28" spans="1:17" x14ac:dyDescent="0.35">
      <c r="A28" s="3" t="s">
        <v>127</v>
      </c>
      <c r="B28" s="21" t="s">
        <v>249</v>
      </c>
      <c r="C28" s="7" t="s">
        <v>9</v>
      </c>
      <c r="D28" s="7" t="s">
        <v>24</v>
      </c>
      <c r="E28" s="1">
        <v>62</v>
      </c>
      <c r="F28" s="1"/>
      <c r="G28" s="1">
        <v>1489.6</v>
      </c>
      <c r="H28" s="1"/>
      <c r="I28" s="1"/>
      <c r="J28" s="1">
        <v>1011.6</v>
      </c>
      <c r="K28" s="1">
        <f>SUM('Master table catch from report'!$E28:$J28)</f>
        <v>2563.1999999999998</v>
      </c>
      <c r="L28" s="7">
        <v>2023</v>
      </c>
      <c r="M28" s="19">
        <v>46016</v>
      </c>
      <c r="N28" s="7" t="s">
        <v>201</v>
      </c>
      <c r="O28" s="7" t="s">
        <v>76</v>
      </c>
      <c r="P28" s="7">
        <v>-7.34</v>
      </c>
      <c r="Q28" s="7">
        <v>177.7</v>
      </c>
    </row>
    <row r="29" spans="1:17" x14ac:dyDescent="0.35">
      <c r="A29" s="3" t="s">
        <v>135</v>
      </c>
      <c r="B29" s="21" t="s">
        <v>248</v>
      </c>
      <c r="C29" s="7" t="s">
        <v>9</v>
      </c>
      <c r="D29" s="7" t="s">
        <v>91</v>
      </c>
      <c r="E29" s="1">
        <v>82</v>
      </c>
      <c r="F29" s="1"/>
      <c r="G29" s="1">
        <v>1554</v>
      </c>
      <c r="H29" s="1">
        <f>66205+5815</f>
        <v>72020</v>
      </c>
      <c r="I29" s="1"/>
      <c r="J29" s="1"/>
      <c r="K29" s="1">
        <f>SUM('Master table catch from report'!$E29:$J29)</f>
        <v>73656</v>
      </c>
      <c r="L29" s="7">
        <v>2023</v>
      </c>
      <c r="M29" s="19">
        <v>45764</v>
      </c>
      <c r="N29" s="7" t="s">
        <v>201</v>
      </c>
      <c r="O29" s="7" t="s">
        <v>42</v>
      </c>
      <c r="P29" s="7">
        <v>-10</v>
      </c>
      <c r="Q29" s="7">
        <v>160</v>
      </c>
    </row>
    <row r="30" spans="1:17" x14ac:dyDescent="0.35">
      <c r="A30" s="3" t="s">
        <v>135</v>
      </c>
      <c r="B30" s="21" t="s">
        <v>248</v>
      </c>
      <c r="C30" s="7" t="s">
        <v>17</v>
      </c>
      <c r="D30" s="7" t="s">
        <v>91</v>
      </c>
      <c r="E30" s="1"/>
      <c r="F30" s="1"/>
      <c r="G30" s="1"/>
      <c r="H30" s="1">
        <v>9638</v>
      </c>
      <c r="I30" s="1"/>
      <c r="J30" s="1">
        <v>1787</v>
      </c>
      <c r="K30" s="1">
        <f>SUM('Master table catch from report'!$E30:$J30)</f>
        <v>11425</v>
      </c>
      <c r="L30" s="7">
        <v>2023</v>
      </c>
      <c r="M30" s="19">
        <v>45764</v>
      </c>
      <c r="N30" s="7" t="s">
        <v>201</v>
      </c>
      <c r="O30" s="7" t="s">
        <v>42</v>
      </c>
      <c r="P30" s="7">
        <v>-10</v>
      </c>
      <c r="Q30" s="7">
        <v>160</v>
      </c>
    </row>
    <row r="31" spans="1:17" x14ac:dyDescent="0.35">
      <c r="A31" s="4" t="s">
        <v>217</v>
      </c>
      <c r="B31" s="12" t="s">
        <v>216</v>
      </c>
      <c r="C31" s="7" t="s">
        <v>17</v>
      </c>
      <c r="D31" s="7" t="s">
        <v>218</v>
      </c>
      <c r="E31" s="1"/>
      <c r="F31" s="1"/>
      <c r="G31" s="1"/>
      <c r="H31" s="1">
        <v>9638</v>
      </c>
      <c r="I31" s="1"/>
      <c r="J31" s="1">
        <v>1787</v>
      </c>
      <c r="K31" s="1">
        <f>SUM('Master table catch from report'!$E31:$J31)</f>
        <v>11425</v>
      </c>
      <c r="L31" s="7">
        <v>2023</v>
      </c>
      <c r="M31" s="19">
        <v>45764</v>
      </c>
      <c r="N31" s="7" t="s">
        <v>208</v>
      </c>
      <c r="O31" s="7" t="s">
        <v>22</v>
      </c>
      <c r="P31" s="7">
        <v>4.6795999999999998</v>
      </c>
      <c r="Q31" s="7">
        <v>55.491999999999997</v>
      </c>
    </row>
    <row r="32" spans="1:17" x14ac:dyDescent="0.35">
      <c r="A32" s="3" t="s">
        <v>112</v>
      </c>
      <c r="B32" s="21" t="s">
        <v>36</v>
      </c>
      <c r="C32" s="7" t="s">
        <v>9</v>
      </c>
      <c r="D32" s="7" t="s">
        <v>18</v>
      </c>
      <c r="E32" s="1"/>
      <c r="F32" s="1"/>
      <c r="G32" s="1"/>
      <c r="H32" s="1">
        <v>80116</v>
      </c>
      <c r="I32" s="1"/>
      <c r="J32" s="1">
        <v>20006</v>
      </c>
      <c r="K32" s="1">
        <f>SUM('Master table catch from report'!$E32:$J32)</f>
        <v>100122</v>
      </c>
      <c r="L32" s="7">
        <v>2024</v>
      </c>
      <c r="M32" s="19">
        <v>46574</v>
      </c>
      <c r="N32" s="7" t="s">
        <v>37</v>
      </c>
      <c r="O32" s="7" t="s">
        <v>21</v>
      </c>
      <c r="P32" s="7">
        <v>-0.43944899999999998</v>
      </c>
      <c r="Q32" s="7">
        <v>-83.392999000000003</v>
      </c>
    </row>
    <row r="33" spans="1:17" x14ac:dyDescent="0.35">
      <c r="A33" s="3" t="s">
        <v>112</v>
      </c>
      <c r="B33" s="21" t="s">
        <v>36</v>
      </c>
      <c r="C33" s="7" t="s">
        <v>17</v>
      </c>
      <c r="D33" s="7" t="s">
        <v>18</v>
      </c>
      <c r="E33" s="1"/>
      <c r="F33" s="1"/>
      <c r="G33" s="1">
        <v>11392</v>
      </c>
      <c r="H33" s="1"/>
      <c r="I33" s="1"/>
      <c r="J33" s="1"/>
      <c r="K33" s="1">
        <f>SUM('Master table catch from report'!$E33:$J33)</f>
        <v>11392</v>
      </c>
      <c r="L33" s="7"/>
      <c r="M33" s="19" t="s">
        <v>157</v>
      </c>
      <c r="N33" s="7" t="s">
        <v>38</v>
      </c>
      <c r="O33" s="7" t="s">
        <v>21</v>
      </c>
      <c r="P33" s="7">
        <v>-0.43944899999999998</v>
      </c>
      <c r="Q33" s="7">
        <v>-83.392999000000003</v>
      </c>
    </row>
    <row r="34" spans="1:17" x14ac:dyDescent="0.35">
      <c r="A34" s="3" t="s">
        <v>113</v>
      </c>
      <c r="B34" s="21" t="s">
        <v>194</v>
      </c>
      <c r="C34" s="7" t="s">
        <v>9</v>
      </c>
      <c r="D34" s="7" t="s">
        <v>18</v>
      </c>
      <c r="E34" s="1"/>
      <c r="F34" s="1"/>
      <c r="G34" s="1"/>
      <c r="H34" s="1">
        <v>20256.2</v>
      </c>
      <c r="I34" s="1"/>
      <c r="J34" s="1">
        <v>4834.84</v>
      </c>
      <c r="K34" s="1">
        <f>SUM('Master table catch from report'!$E34:$J34)</f>
        <v>25091.040000000001</v>
      </c>
      <c r="L34" s="7">
        <v>2023</v>
      </c>
      <c r="M34" s="19">
        <v>46741</v>
      </c>
      <c r="N34" s="7" t="s">
        <v>38</v>
      </c>
      <c r="O34" s="7" t="s">
        <v>39</v>
      </c>
      <c r="P34" s="7">
        <v>-5.5</v>
      </c>
      <c r="Q34" s="7">
        <v>-89</v>
      </c>
    </row>
    <row r="35" spans="1:17" x14ac:dyDescent="0.35">
      <c r="A35" s="3" t="s">
        <v>114</v>
      </c>
      <c r="B35" s="21" t="s">
        <v>40</v>
      </c>
      <c r="C35" s="7" t="s">
        <v>9</v>
      </c>
      <c r="D35" s="7" t="s">
        <v>24</v>
      </c>
      <c r="E35" s="1">
        <v>4513</v>
      </c>
      <c r="F35" s="1"/>
      <c r="G35" s="1">
        <v>279</v>
      </c>
      <c r="H35" s="1"/>
      <c r="I35" s="1"/>
      <c r="J35" s="1">
        <v>1415</v>
      </c>
      <c r="K35" s="1">
        <f>SUM('Master table catch from report'!$E35:$J35)</f>
        <v>6207</v>
      </c>
      <c r="L35" s="7">
        <v>2023</v>
      </c>
      <c r="M35" s="19">
        <v>46955</v>
      </c>
      <c r="N35" s="7" t="s">
        <v>41</v>
      </c>
      <c r="O35" s="7" t="s">
        <v>42</v>
      </c>
      <c r="P35" s="7">
        <v>-19.070425289999999</v>
      </c>
      <c r="Q35" s="7">
        <v>178.59375</v>
      </c>
    </row>
    <row r="36" spans="1:17" x14ac:dyDescent="0.35">
      <c r="A36" s="3" t="s">
        <v>115</v>
      </c>
      <c r="B36" s="21" t="s">
        <v>222</v>
      </c>
      <c r="C36" s="7" t="s">
        <v>9</v>
      </c>
      <c r="D36" s="7" t="s">
        <v>24</v>
      </c>
      <c r="E36" s="1">
        <v>4130</v>
      </c>
      <c r="F36" s="1"/>
      <c r="G36" s="1"/>
      <c r="H36" s="1"/>
      <c r="I36" s="1"/>
      <c r="J36" s="1">
        <v>1309</v>
      </c>
      <c r="K36" s="1">
        <f>SUM('Master table catch from report'!$E36:$J36)</f>
        <v>5439</v>
      </c>
      <c r="L36" s="7">
        <v>2022</v>
      </c>
      <c r="M36" s="19">
        <v>47385</v>
      </c>
      <c r="N36" s="7" t="s">
        <v>43</v>
      </c>
      <c r="O36" s="7" t="s">
        <v>42</v>
      </c>
      <c r="P36" s="7">
        <v>-17.573181999999999</v>
      </c>
      <c r="Q36" s="7">
        <v>-149.11924500000001</v>
      </c>
    </row>
    <row r="37" spans="1:17" x14ac:dyDescent="0.35">
      <c r="A37" s="4" t="s">
        <v>179</v>
      </c>
      <c r="B37" s="12" t="s">
        <v>178</v>
      </c>
      <c r="C37" s="7" t="s">
        <v>9</v>
      </c>
      <c r="D37" s="7" t="s">
        <v>24</v>
      </c>
      <c r="E37" s="1">
        <v>1999</v>
      </c>
      <c r="F37" s="1"/>
      <c r="G37" s="1">
        <v>132.709</v>
      </c>
      <c r="H37" s="1"/>
      <c r="I37" s="1"/>
      <c r="J37" s="1">
        <v>8.7449999999999992</v>
      </c>
      <c r="K37" s="1">
        <f>SUM('Master table catch from report'!$E37:$J37)</f>
        <v>2140.4539999999997</v>
      </c>
      <c r="L37" s="7">
        <v>2021</v>
      </c>
      <c r="M37" s="19">
        <v>47177</v>
      </c>
      <c r="N37" s="7" t="s">
        <v>181</v>
      </c>
      <c r="O37" s="7" t="s">
        <v>180</v>
      </c>
      <c r="P37" s="7">
        <v>-2</v>
      </c>
      <c r="Q37" s="7">
        <v>170</v>
      </c>
    </row>
    <row r="38" spans="1:17" x14ac:dyDescent="0.35">
      <c r="A38" s="4" t="s">
        <v>158</v>
      </c>
      <c r="B38" s="12" t="s">
        <v>159</v>
      </c>
      <c r="C38" s="7" t="s">
        <v>9</v>
      </c>
      <c r="D38" s="7" t="s">
        <v>24</v>
      </c>
      <c r="E38" s="1">
        <f>46+262.77</f>
        <v>308.77</v>
      </c>
      <c r="F38" s="1"/>
      <c r="G38" s="1">
        <v>221</v>
      </c>
      <c r="H38" s="1"/>
      <c r="I38" s="1"/>
      <c r="J38" s="1">
        <v>316</v>
      </c>
      <c r="K38" s="1">
        <f>SUM('Master table catch from report'!$E38:$J38)</f>
        <v>845.77</v>
      </c>
      <c r="L38" s="7">
        <v>2020</v>
      </c>
      <c r="M38" s="19">
        <v>47177</v>
      </c>
      <c r="N38" s="7" t="s">
        <v>50</v>
      </c>
      <c r="O38" s="7" t="s">
        <v>20</v>
      </c>
      <c r="P38" s="7">
        <v>7.6556879999999996</v>
      </c>
      <c r="Q38" s="7">
        <v>155.83011099999999</v>
      </c>
    </row>
    <row r="39" spans="1:17" x14ac:dyDescent="0.35">
      <c r="A39" s="4" t="s">
        <v>158</v>
      </c>
      <c r="B39" s="12" t="s">
        <v>159</v>
      </c>
      <c r="C39" s="7" t="s">
        <v>17</v>
      </c>
      <c r="D39" s="7"/>
      <c r="E39" s="1"/>
      <c r="F39" s="1"/>
      <c r="G39" s="1"/>
      <c r="H39" s="1">
        <f>8514</f>
        <v>8514</v>
      </c>
      <c r="I39" s="1"/>
      <c r="J39" s="1"/>
      <c r="K39" s="1">
        <f>SUM('Master table catch from report'!$E39:$J39)</f>
        <v>8514</v>
      </c>
      <c r="L39" s="7">
        <v>2023</v>
      </c>
      <c r="M39" s="19">
        <v>47177</v>
      </c>
      <c r="N39" s="7" t="s">
        <v>50</v>
      </c>
      <c r="O39" s="7" t="s">
        <v>20</v>
      </c>
      <c r="P39" s="7">
        <v>7.6556879999999996</v>
      </c>
      <c r="Q39" s="7">
        <v>155.83011099999999</v>
      </c>
    </row>
    <row r="40" spans="1:17" x14ac:dyDescent="0.35">
      <c r="A40" s="4" t="s">
        <v>245</v>
      </c>
      <c r="B40" s="12" t="s">
        <v>244</v>
      </c>
      <c r="C40" s="7" t="s">
        <v>17</v>
      </c>
      <c r="D40" s="7" t="s">
        <v>252</v>
      </c>
      <c r="E40" s="1"/>
      <c r="F40" s="1"/>
      <c r="G40" s="1"/>
      <c r="H40" s="1">
        <v>6798</v>
      </c>
      <c r="I40" s="1"/>
      <c r="J40" s="1">
        <v>3951</v>
      </c>
      <c r="K40" s="1">
        <f>SUM('Master table catch from report'!$E40:$J40)</f>
        <v>10749</v>
      </c>
      <c r="L40" s="7">
        <v>2020</v>
      </c>
      <c r="M40" s="19" t="s">
        <v>157</v>
      </c>
      <c r="N40" s="7" t="s">
        <v>253</v>
      </c>
      <c r="O40" s="7" t="s">
        <v>229</v>
      </c>
      <c r="P40" s="7">
        <v>5.766667</v>
      </c>
      <c r="Q40" s="7">
        <v>0</v>
      </c>
    </row>
    <row r="41" spans="1:17" x14ac:dyDescent="0.35">
      <c r="A41" s="4" t="s">
        <v>243</v>
      </c>
      <c r="B41" s="12" t="s">
        <v>242</v>
      </c>
      <c r="C41" s="7" t="s">
        <v>17</v>
      </c>
      <c r="D41" s="7" t="s">
        <v>18</v>
      </c>
      <c r="E41" s="1"/>
      <c r="F41" s="1"/>
      <c r="G41" s="1"/>
      <c r="H41" s="1">
        <f>281+56374</f>
        <v>56655</v>
      </c>
      <c r="I41" s="1"/>
      <c r="J41" s="1">
        <v>22367</v>
      </c>
      <c r="K41" s="1">
        <f>SUM('Master table catch from report'!$E41:$J41)</f>
        <v>79022</v>
      </c>
      <c r="L41" s="7">
        <v>2020</v>
      </c>
      <c r="M41" s="19" t="s">
        <v>157</v>
      </c>
      <c r="N41" s="7" t="s">
        <v>253</v>
      </c>
      <c r="O41" s="7" t="s">
        <v>229</v>
      </c>
      <c r="P41" s="7">
        <v>5.6666670000000003</v>
      </c>
      <c r="Q41" s="7">
        <v>0</v>
      </c>
    </row>
    <row r="42" spans="1:17" x14ac:dyDescent="0.35">
      <c r="A42" s="4" t="s">
        <v>140</v>
      </c>
      <c r="B42" s="12" t="s">
        <v>45</v>
      </c>
      <c r="C42" s="7" t="s">
        <v>9</v>
      </c>
      <c r="D42" s="7" t="s">
        <v>46</v>
      </c>
      <c r="E42" s="1"/>
      <c r="F42" s="1"/>
      <c r="G42" s="1">
        <f>3331*2</f>
        <v>6662</v>
      </c>
      <c r="H42" s="1"/>
      <c r="I42" s="1"/>
      <c r="J42" s="1">
        <v>3231</v>
      </c>
      <c r="K42" s="1">
        <f>SUM('Master table catch from report'!$E42:$J42)</f>
        <v>9893</v>
      </c>
      <c r="L42" s="7">
        <v>2022</v>
      </c>
      <c r="M42" s="19">
        <v>46634</v>
      </c>
      <c r="N42" s="7" t="s">
        <v>11</v>
      </c>
      <c r="O42" s="7" t="s">
        <v>47</v>
      </c>
      <c r="P42" s="7">
        <v>19.425727164544998</v>
      </c>
      <c r="Q42" s="7">
        <v>-156.61205846576999</v>
      </c>
    </row>
    <row r="43" spans="1:17" x14ac:dyDescent="0.35">
      <c r="A43" s="4" t="s">
        <v>259</v>
      </c>
      <c r="B43" s="12" t="s">
        <v>258</v>
      </c>
      <c r="C43" s="7" t="s">
        <v>195</v>
      </c>
      <c r="D43" s="7" t="s">
        <v>89</v>
      </c>
      <c r="E43" s="1"/>
      <c r="F43" s="1"/>
      <c r="G43" s="1">
        <v>3686.65</v>
      </c>
      <c r="H43" s="1"/>
      <c r="I43" s="1"/>
      <c r="J43" s="1">
        <v>7300.18</v>
      </c>
      <c r="K43" s="1">
        <f>SUM('Master table catch from report'!$E43:$J43)</f>
        <v>10986.83</v>
      </c>
      <c r="L43" s="7">
        <v>2023</v>
      </c>
      <c r="M43" s="19" t="s">
        <v>157</v>
      </c>
      <c r="N43" s="7" t="s">
        <v>49</v>
      </c>
      <c r="O43" s="7" t="s">
        <v>230</v>
      </c>
      <c r="P43" s="7">
        <v>-10.85727681</v>
      </c>
      <c r="Q43" s="7">
        <v>110.72036469</v>
      </c>
    </row>
    <row r="44" spans="1:17" x14ac:dyDescent="0.35">
      <c r="A44" s="3" t="s">
        <v>117</v>
      </c>
      <c r="B44" s="21" t="s">
        <v>48</v>
      </c>
      <c r="C44" s="7" t="s">
        <v>9</v>
      </c>
      <c r="D44" s="7" t="s">
        <v>15</v>
      </c>
      <c r="E44" s="1"/>
      <c r="F44" s="1"/>
      <c r="G44" s="1"/>
      <c r="H44" s="1">
        <v>7998</v>
      </c>
      <c r="I44" s="1"/>
      <c r="J44" s="1">
        <v>5818.1</v>
      </c>
      <c r="K44" s="1">
        <f>SUM('Master table catch from report'!$E44:$J44)</f>
        <v>13816.1</v>
      </c>
      <c r="L44" s="7">
        <v>2022</v>
      </c>
      <c r="M44" s="19">
        <v>46047</v>
      </c>
      <c r="N44" s="7" t="s">
        <v>49</v>
      </c>
      <c r="O44" s="7" t="s">
        <v>20</v>
      </c>
      <c r="P44" s="7">
        <v>-2.85</v>
      </c>
      <c r="Q44" s="7">
        <v>125</v>
      </c>
    </row>
    <row r="45" spans="1:17" x14ac:dyDescent="0.35">
      <c r="A45" s="5" t="s">
        <v>118</v>
      </c>
      <c r="B45" s="24" t="s">
        <v>52</v>
      </c>
      <c r="C45" s="7" t="s">
        <v>9</v>
      </c>
      <c r="D45" s="7" t="s">
        <v>15</v>
      </c>
      <c r="E45" s="1">
        <v>736</v>
      </c>
      <c r="F45" s="1"/>
      <c r="G45" s="1"/>
      <c r="H45" s="1">
        <v>4354</v>
      </c>
      <c r="I45" s="1"/>
      <c r="J45" s="1"/>
      <c r="K45" s="1">
        <f>SUM('Master table catch from report'!$E45:$J45)</f>
        <v>5090</v>
      </c>
      <c r="L45" s="7">
        <v>2023</v>
      </c>
      <c r="M45" s="19">
        <v>46492</v>
      </c>
      <c r="N45" s="7" t="s">
        <v>50</v>
      </c>
      <c r="O45" s="7" t="s">
        <v>20</v>
      </c>
      <c r="P45" s="7">
        <v>30.513767029</v>
      </c>
      <c r="Q45" s="7">
        <v>132.42920570999999</v>
      </c>
    </row>
    <row r="46" spans="1:17" x14ac:dyDescent="0.35">
      <c r="A46" s="6" t="s">
        <v>141</v>
      </c>
      <c r="B46" s="9" t="s">
        <v>53</v>
      </c>
      <c r="C46" s="7" t="s">
        <v>9</v>
      </c>
      <c r="D46" s="7" t="s">
        <v>54</v>
      </c>
      <c r="E46" s="1"/>
      <c r="F46" s="1">
        <f>27.99*2</f>
        <v>55.98</v>
      </c>
      <c r="G46" s="1"/>
      <c r="H46" s="1"/>
      <c r="I46" s="1"/>
      <c r="J46" s="1"/>
      <c r="K46" s="1">
        <f>SUM('Master table catch from report'!$E46:$J46)</f>
        <v>55.98</v>
      </c>
      <c r="L46" s="7">
        <v>2020</v>
      </c>
      <c r="M46" s="19">
        <v>46637</v>
      </c>
      <c r="N46" s="7" t="s">
        <v>19</v>
      </c>
      <c r="O46" s="7" t="s">
        <v>55</v>
      </c>
      <c r="P46" s="7">
        <v>36</v>
      </c>
      <c r="Q46" s="7">
        <v>-6</v>
      </c>
    </row>
    <row r="47" spans="1:17" x14ac:dyDescent="0.35">
      <c r="A47" s="4" t="s">
        <v>168</v>
      </c>
      <c r="B47" s="12" t="s">
        <v>167</v>
      </c>
      <c r="C47" s="7" t="s">
        <v>9</v>
      </c>
      <c r="D47" s="7" t="s">
        <v>15</v>
      </c>
      <c r="E47" s="1">
        <v>1194.1489999999999</v>
      </c>
      <c r="F47" s="1"/>
      <c r="G47" s="1"/>
      <c r="H47" s="1">
        <f>953.002*7</f>
        <v>6671.0139999999992</v>
      </c>
      <c r="I47" s="1"/>
      <c r="J47" s="1"/>
      <c r="K47" s="1">
        <f>SUM('Master table catch from report'!$E47:$J47)</f>
        <v>7865.1629999999986</v>
      </c>
      <c r="L47" s="7">
        <v>2023</v>
      </c>
      <c r="M47" s="19">
        <v>46845</v>
      </c>
      <c r="N47" s="7" t="s">
        <v>50</v>
      </c>
      <c r="O47" s="7" t="s">
        <v>169</v>
      </c>
      <c r="P47" s="7">
        <v>32.081409000000001</v>
      </c>
      <c r="Q47" s="7">
        <v>145.966261</v>
      </c>
    </row>
    <row r="48" spans="1:17" x14ac:dyDescent="0.35">
      <c r="A48" s="4" t="s">
        <v>255</v>
      </c>
      <c r="B48" s="12" t="s">
        <v>256</v>
      </c>
      <c r="C48" s="7" t="s">
        <v>17</v>
      </c>
      <c r="D48" s="7" t="s">
        <v>89</v>
      </c>
      <c r="E48" s="1">
        <v>5486</v>
      </c>
      <c r="F48" s="1"/>
      <c r="G48" s="1"/>
      <c r="H48" s="1"/>
      <c r="I48" s="1"/>
      <c r="J48" s="1"/>
      <c r="K48" s="1">
        <f>SUM('Master table catch from report'!$E48:$J48)</f>
        <v>5486</v>
      </c>
      <c r="L48" s="7"/>
      <c r="M48" s="19" t="s">
        <v>157</v>
      </c>
      <c r="N48" s="7" t="s">
        <v>257</v>
      </c>
      <c r="O48" s="7" t="s">
        <v>22</v>
      </c>
      <c r="P48" s="7">
        <v>57.501480000000001</v>
      </c>
      <c r="Q48" s="7">
        <v>-20.14132</v>
      </c>
    </row>
    <row r="49" spans="1:17" x14ac:dyDescent="0.35">
      <c r="A49" s="3" t="s">
        <v>119</v>
      </c>
      <c r="B49" s="21" t="s">
        <v>226</v>
      </c>
      <c r="C49" s="7" t="s">
        <v>173</v>
      </c>
      <c r="D49" s="7" t="s">
        <v>24</v>
      </c>
      <c r="E49" s="1">
        <f>0.148*4</f>
        <v>0.59199999999999997</v>
      </c>
      <c r="F49" s="1"/>
      <c r="G49" s="1">
        <f>64.155*2</f>
        <v>128.31</v>
      </c>
      <c r="H49" s="1"/>
      <c r="I49" s="1"/>
      <c r="J49" s="1">
        <f>36.285*2</f>
        <v>72.569999999999993</v>
      </c>
      <c r="K49" s="1">
        <f>SUM('Master table catch from report'!$E49:$J49)</f>
        <v>201.47200000000001</v>
      </c>
      <c r="L49" s="7">
        <v>2022</v>
      </c>
      <c r="M49" s="19">
        <v>46040</v>
      </c>
      <c r="N49" s="7" t="s">
        <v>56</v>
      </c>
      <c r="O49" s="7" t="s">
        <v>42</v>
      </c>
      <c r="P49" s="7">
        <v>-3.3</v>
      </c>
      <c r="Q49" s="7">
        <v>-168</v>
      </c>
    </row>
    <row r="50" spans="1:17" x14ac:dyDescent="0.35">
      <c r="A50" s="3" t="s">
        <v>120</v>
      </c>
      <c r="B50" s="21" t="s">
        <v>57</v>
      </c>
      <c r="C50" s="7" t="s">
        <v>9</v>
      </c>
      <c r="D50" s="7" t="s">
        <v>15</v>
      </c>
      <c r="E50" s="1">
        <v>1393</v>
      </c>
      <c r="F50" s="1"/>
      <c r="G50" s="1"/>
      <c r="H50" s="1">
        <v>7803</v>
      </c>
      <c r="I50" s="1"/>
      <c r="J50" s="1"/>
      <c r="K50" s="1">
        <f>SUM('Master table catch from report'!$E50:$J50)</f>
        <v>9196</v>
      </c>
      <c r="L50" s="7">
        <v>2022</v>
      </c>
      <c r="M50" s="19">
        <v>46193</v>
      </c>
      <c r="N50" s="7" t="s">
        <v>50</v>
      </c>
      <c r="O50" s="7" t="s">
        <v>20</v>
      </c>
      <c r="P50" s="7">
        <v>32.081409000000001</v>
      </c>
      <c r="Q50" s="7">
        <v>145.966261</v>
      </c>
    </row>
    <row r="51" spans="1:17" x14ac:dyDescent="0.35">
      <c r="A51" s="4" t="s">
        <v>183</v>
      </c>
      <c r="B51" s="12" t="s">
        <v>182</v>
      </c>
      <c r="C51" s="7" t="s">
        <v>9</v>
      </c>
      <c r="D51" s="7" t="s">
        <v>18</v>
      </c>
      <c r="E51" s="1"/>
      <c r="F51" s="1"/>
      <c r="G51" s="1"/>
      <c r="H51" s="1">
        <v>15392</v>
      </c>
      <c r="I51" s="1"/>
      <c r="J51" s="1">
        <v>4093</v>
      </c>
      <c r="K51" s="1">
        <f>SUM('Master table catch from report'!$E51:$J51)</f>
        <v>19485</v>
      </c>
      <c r="L51" s="7">
        <v>2021</v>
      </c>
      <c r="M51" s="19">
        <v>47164</v>
      </c>
      <c r="N51" s="7" t="s">
        <v>50</v>
      </c>
      <c r="O51" s="7" t="s">
        <v>20</v>
      </c>
      <c r="P51" s="7">
        <v>8</v>
      </c>
      <c r="Q51" s="7">
        <v>156</v>
      </c>
    </row>
    <row r="52" spans="1:17" x14ac:dyDescent="0.35">
      <c r="A52" s="3" t="s">
        <v>121</v>
      </c>
      <c r="B52" s="21" t="s">
        <v>58</v>
      </c>
      <c r="C52" s="7" t="s">
        <v>9</v>
      </c>
      <c r="D52" s="7" t="s">
        <v>224</v>
      </c>
      <c r="E52" s="1"/>
      <c r="F52" s="1"/>
      <c r="G52" s="1"/>
      <c r="H52" s="1">
        <v>129024</v>
      </c>
      <c r="I52" s="1"/>
      <c r="J52" s="1"/>
      <c r="K52" s="1">
        <f>SUM('Master table catch from report'!$E52:$J52)</f>
        <v>129024</v>
      </c>
      <c r="L52" s="7">
        <v>2023</v>
      </c>
      <c r="M52" s="19">
        <v>46901</v>
      </c>
      <c r="N52" s="7" t="s">
        <v>101</v>
      </c>
      <c r="O52" s="7" t="s">
        <v>60</v>
      </c>
      <c r="P52" s="7">
        <v>7.6172000000000004E-2</v>
      </c>
      <c r="Q52" s="7">
        <v>72.861328</v>
      </c>
    </row>
    <row r="53" spans="1:17" x14ac:dyDescent="0.35">
      <c r="A53" s="3" t="s">
        <v>122</v>
      </c>
      <c r="B53" s="21" t="s">
        <v>61</v>
      </c>
      <c r="C53" s="7" t="s">
        <v>9</v>
      </c>
      <c r="D53" s="7" t="s">
        <v>18</v>
      </c>
      <c r="E53" s="1"/>
      <c r="F53" s="1"/>
      <c r="G53" s="1">
        <f>413.5+595</f>
        <v>1008.5</v>
      </c>
      <c r="H53" s="1">
        <f>12912.5+17335.5</f>
        <v>30248</v>
      </c>
      <c r="I53" s="1"/>
      <c r="J53" s="1">
        <v>2136</v>
      </c>
      <c r="K53" s="1">
        <f>SUM('Master table catch from report'!$E53:$J53)</f>
        <v>33392.5</v>
      </c>
      <c r="L53" s="7">
        <v>2022</v>
      </c>
      <c r="M53" s="19">
        <v>46238</v>
      </c>
      <c r="N53" s="7" t="s">
        <v>62</v>
      </c>
      <c r="O53" s="7" t="s">
        <v>20</v>
      </c>
      <c r="P53" s="7">
        <v>7.4</v>
      </c>
      <c r="Q53" s="7">
        <v>150.4</v>
      </c>
    </row>
    <row r="54" spans="1:17" x14ac:dyDescent="0.35">
      <c r="A54" s="4" t="s">
        <v>142</v>
      </c>
      <c r="B54" s="12" t="s">
        <v>63</v>
      </c>
      <c r="C54" s="7" t="s">
        <v>9</v>
      </c>
      <c r="D54" s="7" t="s">
        <v>18</v>
      </c>
      <c r="E54" s="1"/>
      <c r="F54" s="1"/>
      <c r="G54" s="1">
        <v>2000</v>
      </c>
      <c r="H54" s="1">
        <v>107000</v>
      </c>
      <c r="I54" s="1"/>
      <c r="J54" s="1">
        <v>15700</v>
      </c>
      <c r="K54" s="1">
        <f>SUM('Master table catch from report'!$E54:$J54)</f>
        <v>124700</v>
      </c>
      <c r="L54" s="7">
        <v>2023</v>
      </c>
      <c r="M54" s="19">
        <v>46574</v>
      </c>
      <c r="N54" s="7" t="s">
        <v>64</v>
      </c>
      <c r="O54" s="7" t="s">
        <v>42</v>
      </c>
      <c r="P54" s="7">
        <v>8.9307400000000001</v>
      </c>
      <c r="Q54" s="7">
        <v>150.67766</v>
      </c>
    </row>
    <row r="55" spans="1:17" x14ac:dyDescent="0.35">
      <c r="A55" s="3" t="s">
        <v>123</v>
      </c>
      <c r="B55" s="21" t="s">
        <v>65</v>
      </c>
      <c r="C55" s="7" t="s">
        <v>9</v>
      </c>
      <c r="D55" s="7" t="s">
        <v>10</v>
      </c>
      <c r="E55" s="1">
        <v>823</v>
      </c>
      <c r="F55" s="1"/>
      <c r="G55" s="1"/>
      <c r="H55" s="1"/>
      <c r="I55" s="1"/>
      <c r="J55" s="1"/>
      <c r="K55" s="1">
        <f>SUM('Master table catch from report'!$E55:$J55)</f>
        <v>823</v>
      </c>
      <c r="L55" s="7">
        <v>2023</v>
      </c>
      <c r="M55" s="19">
        <v>46611</v>
      </c>
      <c r="N55" s="7" t="s">
        <v>66</v>
      </c>
      <c r="O55" s="7" t="s">
        <v>26</v>
      </c>
      <c r="P55" s="7">
        <v>-45.906319000000003</v>
      </c>
      <c r="Q55" s="7">
        <v>164.882813</v>
      </c>
    </row>
    <row r="56" spans="1:17" x14ac:dyDescent="0.35">
      <c r="A56" s="3" t="s">
        <v>125</v>
      </c>
      <c r="B56" s="21" t="s">
        <v>70</v>
      </c>
      <c r="C56" s="7" t="s">
        <v>9</v>
      </c>
      <c r="D56" s="7" t="s">
        <v>71</v>
      </c>
      <c r="E56" s="1">
        <v>12765</v>
      </c>
      <c r="F56" s="1"/>
      <c r="G56" s="1"/>
      <c r="H56" s="1"/>
      <c r="I56" s="1"/>
      <c r="J56" s="1"/>
      <c r="K56" s="1">
        <f>SUM('Master table catch from report'!$E56:$J56)</f>
        <v>12765</v>
      </c>
      <c r="L56" s="7">
        <v>2022</v>
      </c>
      <c r="M56" s="19">
        <v>46362</v>
      </c>
      <c r="N56" s="7" t="s">
        <v>19</v>
      </c>
      <c r="O56" s="7" t="s">
        <v>72</v>
      </c>
      <c r="P56" s="7">
        <v>44.804250000000003</v>
      </c>
      <c r="Q56" s="7">
        <v>-12.128906000000001</v>
      </c>
    </row>
    <row r="57" spans="1:17" x14ac:dyDescent="0.35">
      <c r="A57" s="4" t="s">
        <v>174</v>
      </c>
      <c r="B57" s="12" t="s">
        <v>175</v>
      </c>
      <c r="C57" s="7" t="s">
        <v>9</v>
      </c>
      <c r="D57" s="7" t="s">
        <v>176</v>
      </c>
      <c r="E57" s="1">
        <v>0</v>
      </c>
      <c r="F57" s="1"/>
      <c r="G57" s="1"/>
      <c r="H57" s="1"/>
      <c r="I57" s="1"/>
      <c r="J57" s="1">
        <v>110</v>
      </c>
      <c r="K57" s="1">
        <f>SUM('Master table catch from report'!$E57:$J57)</f>
        <v>110</v>
      </c>
      <c r="L57" s="7">
        <v>2021</v>
      </c>
      <c r="M57" s="19" t="s">
        <v>157</v>
      </c>
      <c r="N57" s="7" t="s">
        <v>32</v>
      </c>
      <c r="O57" s="7" t="s">
        <v>177</v>
      </c>
      <c r="P57" s="7">
        <v>43</v>
      </c>
      <c r="Q57" s="7">
        <v>-63.5</v>
      </c>
    </row>
    <row r="58" spans="1:17" x14ac:dyDescent="0.35">
      <c r="A58" s="3" t="s">
        <v>126</v>
      </c>
      <c r="B58" s="21" t="s">
        <v>73</v>
      </c>
      <c r="C58" s="7" t="s">
        <v>9</v>
      </c>
      <c r="D58" s="7" t="s">
        <v>24</v>
      </c>
      <c r="E58" s="1">
        <v>188.4</v>
      </c>
      <c r="F58" s="1"/>
      <c r="G58" s="1">
        <v>19.100000000000001</v>
      </c>
      <c r="H58" s="1"/>
      <c r="I58" s="1"/>
      <c r="J58" s="1">
        <v>23.2</v>
      </c>
      <c r="K58" s="1">
        <f>SUM('Master table catch from report'!$E58:$J58)</f>
        <v>230.7</v>
      </c>
      <c r="L58" s="7">
        <v>2023</v>
      </c>
      <c r="M58" s="19">
        <v>46057</v>
      </c>
      <c r="N58" s="7" t="s">
        <v>50</v>
      </c>
      <c r="O58" s="7" t="s">
        <v>74</v>
      </c>
      <c r="P58" s="7">
        <v>44.143101999999999</v>
      </c>
      <c r="Q58" s="7">
        <v>160</v>
      </c>
    </row>
    <row r="59" spans="1:17" x14ac:dyDescent="0.35">
      <c r="A59" s="4" t="s">
        <v>203</v>
      </c>
      <c r="B59" s="12" t="s">
        <v>202</v>
      </c>
      <c r="C59" s="7" t="s">
        <v>9</v>
      </c>
      <c r="D59" s="7" t="s">
        <v>204</v>
      </c>
      <c r="E59" s="1">
        <v>2465</v>
      </c>
      <c r="F59" s="1"/>
      <c r="G59" s="1">
        <v>557</v>
      </c>
      <c r="H59" s="1"/>
      <c r="I59" s="1"/>
      <c r="J59" s="1">
        <v>543</v>
      </c>
      <c r="K59" s="1">
        <f>SUM('Master table catch from report'!$E59:$J59)</f>
        <v>3565</v>
      </c>
      <c r="L59" s="7">
        <v>2022</v>
      </c>
      <c r="M59" s="19">
        <v>47251</v>
      </c>
      <c r="N59" s="7" t="s">
        <v>90</v>
      </c>
      <c r="O59" s="7" t="s">
        <v>42</v>
      </c>
      <c r="P59" s="7">
        <v>10</v>
      </c>
      <c r="Q59" s="7">
        <v>180</v>
      </c>
    </row>
    <row r="60" spans="1:17" x14ac:dyDescent="0.35">
      <c r="A60" s="4" t="s">
        <v>128</v>
      </c>
      <c r="B60" s="12" t="s">
        <v>78</v>
      </c>
      <c r="C60" s="7" t="s">
        <v>9</v>
      </c>
      <c r="D60" s="7" t="s">
        <v>15</v>
      </c>
      <c r="E60" s="1"/>
      <c r="F60" s="1"/>
      <c r="G60" s="1"/>
      <c r="H60" s="1"/>
      <c r="I60" s="1"/>
      <c r="J60" s="1">
        <v>67.599999999999994</v>
      </c>
      <c r="K60" s="1">
        <f>SUM('Master table catch from report'!$E60:$J60)</f>
        <v>67.599999999999994</v>
      </c>
      <c r="L60" s="7">
        <v>2023</v>
      </c>
      <c r="M60" s="19">
        <v>46313</v>
      </c>
      <c r="N60" s="7" t="s">
        <v>79</v>
      </c>
      <c r="O60" s="7" t="s">
        <v>20</v>
      </c>
      <c r="P60" s="7">
        <v>13.4</v>
      </c>
      <c r="Q60" s="7">
        <v>124</v>
      </c>
    </row>
    <row r="61" spans="1:17" x14ac:dyDescent="0.35">
      <c r="A61" s="3" t="s">
        <v>129</v>
      </c>
      <c r="B61" s="21" t="s">
        <v>198</v>
      </c>
      <c r="C61" s="7" t="s">
        <v>9</v>
      </c>
      <c r="D61" s="7" t="s">
        <v>18</v>
      </c>
      <c r="E61" s="1"/>
      <c r="F61" s="1"/>
      <c r="G61" s="1">
        <v>54913</v>
      </c>
      <c r="H61" s="1">
        <v>1009559</v>
      </c>
      <c r="I61" s="1"/>
      <c r="J61" s="1">
        <v>329833</v>
      </c>
      <c r="K61" s="1">
        <f>SUM('Master table catch from report'!$E61:$J61)</f>
        <v>1394305</v>
      </c>
      <c r="L61" s="7">
        <v>2021</v>
      </c>
      <c r="M61" s="19">
        <v>47412</v>
      </c>
      <c r="N61" s="7" t="s">
        <v>80</v>
      </c>
      <c r="O61" s="7" t="s">
        <v>42</v>
      </c>
      <c r="P61" s="7">
        <v>7.4958289999999996</v>
      </c>
      <c r="Q61" s="7">
        <v>168.75618</v>
      </c>
    </row>
    <row r="62" spans="1:17" x14ac:dyDescent="0.35">
      <c r="A62" s="3" t="s">
        <v>130</v>
      </c>
      <c r="B62" s="21" t="s">
        <v>81</v>
      </c>
      <c r="C62" s="7" t="s">
        <v>9</v>
      </c>
      <c r="D62" s="7" t="s">
        <v>18</v>
      </c>
      <c r="E62" s="1"/>
      <c r="F62" s="1"/>
      <c r="G62" s="1">
        <v>1200</v>
      </c>
      <c r="H62" s="1">
        <f>39000*2</f>
        <v>78000</v>
      </c>
      <c r="I62" s="1"/>
      <c r="J62" s="1">
        <f>44000*2</f>
        <v>88000</v>
      </c>
      <c r="K62" s="1">
        <f>SUM('Master table catch from report'!$E62:$J62)</f>
        <v>167200</v>
      </c>
      <c r="L62" s="7">
        <v>2023</v>
      </c>
      <c r="M62" s="19">
        <v>45971</v>
      </c>
      <c r="N62" s="7" t="s">
        <v>82</v>
      </c>
      <c r="O62" s="7" t="s">
        <v>20</v>
      </c>
      <c r="P62" s="7">
        <v>7.4891666700000004</v>
      </c>
      <c r="Q62" s="7">
        <v>152.86305555999999</v>
      </c>
    </row>
    <row r="63" spans="1:17" x14ac:dyDescent="0.35">
      <c r="A63" s="4" t="s">
        <v>214</v>
      </c>
      <c r="B63" s="12" t="s">
        <v>213</v>
      </c>
      <c r="C63" s="7" t="s">
        <v>9</v>
      </c>
      <c r="D63" s="7" t="s">
        <v>24</v>
      </c>
      <c r="E63" s="1">
        <f>366.88+70.25</f>
        <v>437.13</v>
      </c>
      <c r="F63" s="1"/>
      <c r="G63" s="1">
        <f>3664.65+1051.46</f>
        <v>4716.1100000000006</v>
      </c>
      <c r="H63" s="1"/>
      <c r="I63" s="1"/>
      <c r="J63" s="1">
        <f>1445.23+1721.58</f>
        <v>3166.81</v>
      </c>
      <c r="K63" s="1">
        <f>SUM('Master table catch from report'!$E63:$J63)</f>
        <v>8320.0500000000011</v>
      </c>
      <c r="L63" s="7">
        <v>2022</v>
      </c>
      <c r="M63" s="19" t="s">
        <v>157</v>
      </c>
      <c r="N63" s="7" t="s">
        <v>215</v>
      </c>
      <c r="O63" s="7" t="s">
        <v>20</v>
      </c>
      <c r="P63" s="7">
        <v>10</v>
      </c>
      <c r="Q63" s="7">
        <v>180</v>
      </c>
    </row>
    <row r="64" spans="1:17" x14ac:dyDescent="0.35">
      <c r="A64" s="4" t="s">
        <v>131</v>
      </c>
      <c r="B64" s="12" t="s">
        <v>83</v>
      </c>
      <c r="C64" s="7" t="s">
        <v>9</v>
      </c>
      <c r="D64" s="7" t="s">
        <v>84</v>
      </c>
      <c r="E64" s="1"/>
      <c r="F64" s="1">
        <v>527</v>
      </c>
      <c r="G64" s="1"/>
      <c r="H64" s="1"/>
      <c r="I64" s="1"/>
      <c r="J64" s="1"/>
      <c r="K64" s="1">
        <f>SUM('Master table catch from report'!$E64:$J64)</f>
        <v>527</v>
      </c>
      <c r="L64" s="7">
        <v>2023</v>
      </c>
      <c r="M64" s="19">
        <v>45952</v>
      </c>
      <c r="N64" s="7" t="s">
        <v>35</v>
      </c>
      <c r="O64" s="7" t="s">
        <v>85</v>
      </c>
      <c r="P64" s="7">
        <v>41.2</v>
      </c>
      <c r="Q64" s="7">
        <v>8</v>
      </c>
    </row>
    <row r="65" spans="1:17" x14ac:dyDescent="0.35">
      <c r="A65" s="4" t="s">
        <v>145</v>
      </c>
      <c r="B65" s="12" t="s">
        <v>102</v>
      </c>
      <c r="C65" s="7" t="s">
        <v>9</v>
      </c>
      <c r="D65" s="7" t="s">
        <v>18</v>
      </c>
      <c r="E65" s="1"/>
      <c r="F65" s="1"/>
      <c r="G65" s="1"/>
      <c r="H65" s="1">
        <v>53178</v>
      </c>
      <c r="I65" s="1"/>
      <c r="J65" s="1">
        <v>8305</v>
      </c>
      <c r="K65" s="1">
        <f>SUM('Master table catch from report'!$E65:$J65)</f>
        <v>61483</v>
      </c>
      <c r="L65" s="7">
        <v>2024</v>
      </c>
      <c r="M65" s="19">
        <v>46574</v>
      </c>
      <c r="N65" s="7" t="s">
        <v>50</v>
      </c>
      <c r="O65" s="7" t="s">
        <v>20</v>
      </c>
      <c r="P65" s="7">
        <v>7.9480560000000002</v>
      </c>
      <c r="Q65" s="7">
        <v>158.565</v>
      </c>
    </row>
    <row r="66" spans="1:17" x14ac:dyDescent="0.35">
      <c r="A66" s="4" t="s">
        <v>185</v>
      </c>
      <c r="B66" s="12" t="s">
        <v>187</v>
      </c>
      <c r="C66" s="7" t="s">
        <v>9</v>
      </c>
      <c r="D66" s="7" t="s">
        <v>24</v>
      </c>
      <c r="E66" s="1">
        <f>25.915*4</f>
        <v>103.66</v>
      </c>
      <c r="F66" s="1"/>
      <c r="G66" s="1">
        <v>565.63</v>
      </c>
      <c r="H66" s="1"/>
      <c r="I66" s="1"/>
      <c r="J66" s="1">
        <v>903.61500000000001</v>
      </c>
      <c r="K66" s="1">
        <f>SUM('Master table catch from report'!$E66:$J66)</f>
        <v>1572.905</v>
      </c>
      <c r="L66" s="7">
        <v>2021</v>
      </c>
      <c r="M66" s="19" t="s">
        <v>157</v>
      </c>
      <c r="N66" s="7" t="s">
        <v>75</v>
      </c>
      <c r="O66" s="7" t="s">
        <v>42</v>
      </c>
      <c r="P66" s="7">
        <v>19</v>
      </c>
      <c r="Q66" s="7">
        <v>178</v>
      </c>
    </row>
    <row r="67" spans="1:17" x14ac:dyDescent="0.35">
      <c r="A67" s="4" t="s">
        <v>188</v>
      </c>
      <c r="B67" s="12" t="s">
        <v>246</v>
      </c>
      <c r="C67" s="7" t="s">
        <v>9</v>
      </c>
      <c r="D67" s="7" t="s">
        <v>186</v>
      </c>
      <c r="E67" s="1"/>
      <c r="F67" s="1"/>
      <c r="G67" s="1">
        <v>882</v>
      </c>
      <c r="H67" s="1">
        <v>45843</v>
      </c>
      <c r="I67" s="1"/>
      <c r="J67" s="1">
        <v>9751</v>
      </c>
      <c r="K67" s="1">
        <f>SUM('Master table catch from report'!$E67:$J67)</f>
        <v>56476</v>
      </c>
      <c r="L67" s="7">
        <v>2020</v>
      </c>
      <c r="M67" s="19" t="s">
        <v>157</v>
      </c>
      <c r="N67" s="7" t="s">
        <v>75</v>
      </c>
      <c r="O67" s="7" t="s">
        <v>20</v>
      </c>
      <c r="P67" s="7">
        <v>19</v>
      </c>
      <c r="Q67" s="7">
        <v>178</v>
      </c>
    </row>
    <row r="68" spans="1:17" x14ac:dyDescent="0.35">
      <c r="A68" s="3" t="s">
        <v>124</v>
      </c>
      <c r="B68" s="21" t="s">
        <v>67</v>
      </c>
      <c r="C68" s="7" t="s">
        <v>9</v>
      </c>
      <c r="D68" s="7" t="s">
        <v>68</v>
      </c>
      <c r="E68" s="1"/>
      <c r="F68" s="1"/>
      <c r="G68" s="1"/>
      <c r="H68" s="1">
        <f>635.2+10941</f>
        <v>11576.2</v>
      </c>
      <c r="I68" s="1"/>
      <c r="J68" s="1">
        <f>29.3+5819</f>
        <v>5848.3</v>
      </c>
      <c r="K68" s="1">
        <f>SUM('Master table catch from report'!$E68:$J68)</f>
        <v>17424.5</v>
      </c>
      <c r="L68" s="7">
        <v>2023</v>
      </c>
      <c r="M68" s="19">
        <v>46181</v>
      </c>
      <c r="N68" s="7" t="s">
        <v>69</v>
      </c>
      <c r="O68" s="7" t="s">
        <v>20</v>
      </c>
      <c r="P68" s="7">
        <v>-8.1897407619999996</v>
      </c>
      <c r="Q68" s="7">
        <v>158.42286088</v>
      </c>
    </row>
    <row r="69" spans="1:17" x14ac:dyDescent="0.35">
      <c r="A69" s="4" t="s">
        <v>197</v>
      </c>
      <c r="B69" s="12" t="s">
        <v>196</v>
      </c>
      <c r="C69" s="7" t="s">
        <v>9</v>
      </c>
      <c r="D69" s="7" t="s">
        <v>15</v>
      </c>
      <c r="E69" s="1">
        <v>2485</v>
      </c>
      <c r="F69" s="1"/>
      <c r="G69" s="1"/>
      <c r="H69" s="1"/>
      <c r="I69" s="1"/>
      <c r="J69" s="1"/>
      <c r="K69" s="1">
        <f>SUM('Master table catch from report'!$E69:$J69)</f>
        <v>2485</v>
      </c>
      <c r="L69" s="7">
        <v>2022</v>
      </c>
      <c r="M69" s="19" t="s">
        <v>157</v>
      </c>
      <c r="N69" s="7" t="s">
        <v>59</v>
      </c>
      <c r="O69" s="7" t="s">
        <v>103</v>
      </c>
      <c r="P69" s="7">
        <v>-33.908931883664003</v>
      </c>
      <c r="Q69" s="7">
        <v>18.447633807338001</v>
      </c>
    </row>
    <row r="70" spans="1:17" x14ac:dyDescent="0.35">
      <c r="A70" s="4" t="s">
        <v>232</v>
      </c>
      <c r="B70" s="12" t="s">
        <v>231</v>
      </c>
      <c r="C70" s="7" t="s">
        <v>9</v>
      </c>
      <c r="D70" s="7" t="s">
        <v>15</v>
      </c>
      <c r="E70" s="1">
        <v>2922</v>
      </c>
      <c r="F70" s="1"/>
      <c r="G70" s="1"/>
      <c r="H70" s="1"/>
      <c r="I70" s="1"/>
      <c r="J70" s="1"/>
      <c r="K70" s="1">
        <f>SUM('Master table catch from report'!$E70:$J70)</f>
        <v>2922</v>
      </c>
      <c r="L70" s="7">
        <v>2022</v>
      </c>
      <c r="M70" s="19" t="s">
        <v>157</v>
      </c>
      <c r="N70" s="7" t="s">
        <v>59</v>
      </c>
      <c r="O70" s="7" t="s">
        <v>103</v>
      </c>
      <c r="P70" s="7" t="s">
        <v>228</v>
      </c>
      <c r="Q70" s="7" t="s">
        <v>228</v>
      </c>
    </row>
    <row r="71" spans="1:17" x14ac:dyDescent="0.35">
      <c r="A71" s="3" t="s">
        <v>116</v>
      </c>
      <c r="B71" s="21" t="s">
        <v>44</v>
      </c>
      <c r="C71" s="7" t="s">
        <v>9</v>
      </c>
      <c r="D71" s="7" t="s">
        <v>96</v>
      </c>
      <c r="E71" s="1">
        <v>156.44</v>
      </c>
      <c r="F71" s="1"/>
      <c r="G71" s="1">
        <v>837.12</v>
      </c>
      <c r="H71" s="1"/>
      <c r="I71" s="1"/>
      <c r="J71" s="1">
        <v>1038.8499999999999</v>
      </c>
      <c r="K71" s="1">
        <f>SUM('Master table catch from report'!$E71:$J71)</f>
        <v>2032.4099999999999</v>
      </c>
      <c r="L71" s="7">
        <v>2022</v>
      </c>
      <c r="M71" s="19">
        <v>45541</v>
      </c>
      <c r="N71" s="7" t="s">
        <v>90</v>
      </c>
      <c r="O71" s="7" t="s">
        <v>20</v>
      </c>
      <c r="P71" s="7">
        <v>7.5</v>
      </c>
      <c r="Q71" s="7">
        <v>150.80000000000001</v>
      </c>
    </row>
    <row r="72" spans="1:17" x14ac:dyDescent="0.35">
      <c r="A72" s="3" t="s">
        <v>116</v>
      </c>
      <c r="B72" s="21" t="s">
        <v>44</v>
      </c>
      <c r="C72" s="7" t="s">
        <v>17</v>
      </c>
      <c r="D72" s="7" t="s">
        <v>96</v>
      </c>
      <c r="E72" s="1">
        <f>156.44+329.26</f>
        <v>485.7</v>
      </c>
      <c r="F72" s="1"/>
      <c r="G72" s="1">
        <f>837.12+88.6</f>
        <v>925.72</v>
      </c>
      <c r="H72" s="1"/>
      <c r="I72" s="1"/>
      <c r="J72" s="1">
        <f>1038.85+530.91</f>
        <v>1569.7599999999998</v>
      </c>
      <c r="K72" s="1">
        <f>SUM('Master table catch from report'!$E72:$J72)</f>
        <v>2981.18</v>
      </c>
      <c r="L72" s="7">
        <v>2021</v>
      </c>
      <c r="M72" s="19">
        <v>45541</v>
      </c>
      <c r="N72" s="7" t="s">
        <v>90</v>
      </c>
      <c r="O72" s="7" t="s">
        <v>20</v>
      </c>
      <c r="P72" s="7">
        <v>7.5</v>
      </c>
      <c r="Q72" s="7">
        <v>150.80000000000001</v>
      </c>
    </row>
    <row r="73" spans="1:17" x14ac:dyDescent="0.35">
      <c r="A73" s="3" t="s">
        <v>132</v>
      </c>
      <c r="B73" s="21" t="s">
        <v>250</v>
      </c>
      <c r="C73" s="7" t="s">
        <v>9</v>
      </c>
      <c r="D73" s="7" t="s">
        <v>24</v>
      </c>
      <c r="E73" s="1">
        <v>146</v>
      </c>
      <c r="F73" s="1"/>
      <c r="G73" s="1">
        <v>1899</v>
      </c>
      <c r="H73" s="1"/>
      <c r="I73" s="1"/>
      <c r="J73" s="1">
        <v>904</v>
      </c>
      <c r="K73" s="1">
        <f>SUM('Master table catch from report'!$E73:$J73)</f>
        <v>2949</v>
      </c>
      <c r="L73" s="7">
        <v>2023</v>
      </c>
      <c r="M73" s="19">
        <v>45753</v>
      </c>
      <c r="N73" s="7" t="s">
        <v>80</v>
      </c>
      <c r="O73" s="7" t="s">
        <v>20</v>
      </c>
      <c r="P73" s="7">
        <v>6.7</v>
      </c>
      <c r="Q73" s="7">
        <v>171</v>
      </c>
    </row>
    <row r="74" spans="1:17" x14ac:dyDescent="0.35">
      <c r="A74" s="3" t="s">
        <v>133</v>
      </c>
      <c r="B74" s="21" t="s">
        <v>86</v>
      </c>
      <c r="C74" s="7" t="s">
        <v>9</v>
      </c>
      <c r="D74" s="7" t="s">
        <v>24</v>
      </c>
      <c r="E74" s="1">
        <v>2001</v>
      </c>
      <c r="F74" s="1"/>
      <c r="G74" s="1">
        <v>117</v>
      </c>
      <c r="H74" s="1"/>
      <c r="I74" s="1"/>
      <c r="J74" s="1">
        <v>500</v>
      </c>
      <c r="K74" s="1">
        <f>SUM('Master table catch from report'!$E74:$J74)</f>
        <v>2618</v>
      </c>
      <c r="L74" s="7">
        <v>2023</v>
      </c>
      <c r="M74" s="19">
        <v>46064</v>
      </c>
      <c r="N74" s="7" t="s">
        <v>87</v>
      </c>
      <c r="O74" s="7" t="s">
        <v>14</v>
      </c>
      <c r="P74" s="7">
        <v>-24.206890000000001</v>
      </c>
      <c r="Q74" s="7">
        <v>-159.609375</v>
      </c>
    </row>
    <row r="75" spans="1:17" x14ac:dyDescent="0.35">
      <c r="A75" s="4" t="s">
        <v>210</v>
      </c>
      <c r="B75" s="12" t="s">
        <v>209</v>
      </c>
      <c r="C75" s="7" t="s">
        <v>9</v>
      </c>
      <c r="D75" s="7" t="s">
        <v>18</v>
      </c>
      <c r="E75" s="1"/>
      <c r="F75" s="1"/>
      <c r="G75" s="1"/>
      <c r="H75" s="1">
        <v>13495</v>
      </c>
      <c r="I75" s="1"/>
      <c r="J75" s="1">
        <v>3210</v>
      </c>
      <c r="K75" s="1">
        <f>SUM('Master table catch from report'!$E75:$J75)</f>
        <v>16705</v>
      </c>
      <c r="L75" s="7">
        <v>2022</v>
      </c>
      <c r="M75" s="19" t="s">
        <v>157</v>
      </c>
      <c r="N75" s="7" t="s">
        <v>50</v>
      </c>
      <c r="O75" s="7" t="s">
        <v>20</v>
      </c>
      <c r="P75" s="7">
        <v>-1.5192000000000001</v>
      </c>
      <c r="Q75" s="7">
        <v>155.04040000000001</v>
      </c>
    </row>
    <row r="76" spans="1:17" x14ac:dyDescent="0.35">
      <c r="A76" s="4" t="s">
        <v>143</v>
      </c>
      <c r="B76" s="12" t="s">
        <v>88</v>
      </c>
      <c r="C76" s="7" t="s">
        <v>9</v>
      </c>
      <c r="D76" s="7" t="s">
        <v>89</v>
      </c>
      <c r="E76" s="1">
        <f>2032+9219</f>
        <v>11251</v>
      </c>
      <c r="F76" s="1"/>
      <c r="G76" s="1"/>
      <c r="H76" s="1"/>
      <c r="I76" s="1"/>
      <c r="J76" s="1"/>
      <c r="K76" s="1">
        <f>SUM('Master table catch from report'!$E76:$J76)</f>
        <v>11251</v>
      </c>
      <c r="L76" s="7">
        <v>2023</v>
      </c>
      <c r="M76" s="19">
        <v>46568</v>
      </c>
      <c r="N76" s="7" t="s">
        <v>90</v>
      </c>
      <c r="O76" s="7" t="s">
        <v>23</v>
      </c>
      <c r="P76" s="7">
        <v>-36</v>
      </c>
      <c r="Q76" s="7">
        <v>18</v>
      </c>
    </row>
    <row r="77" spans="1:17" x14ac:dyDescent="0.35">
      <c r="A77" s="4" t="s">
        <v>147</v>
      </c>
      <c r="B77" s="12" t="s">
        <v>148</v>
      </c>
      <c r="C77" s="7" t="s">
        <v>9</v>
      </c>
      <c r="D77" s="7" t="s">
        <v>24</v>
      </c>
      <c r="E77" s="1">
        <f>2969+8109</f>
        <v>11078</v>
      </c>
      <c r="F77" s="1"/>
      <c r="G77" s="1">
        <f>421+776</f>
        <v>1197</v>
      </c>
      <c r="H77" s="1">
        <f>114+18</f>
        <v>132</v>
      </c>
      <c r="I77" s="1"/>
      <c r="J77" s="1">
        <v>3433</v>
      </c>
      <c r="K77" s="1">
        <f>SUM('Master table catch from report'!$E77:$J77)</f>
        <v>15840</v>
      </c>
      <c r="L77" s="7">
        <v>2020</v>
      </c>
      <c r="M77" s="19" t="s">
        <v>157</v>
      </c>
      <c r="N77" s="7" t="s">
        <v>150</v>
      </c>
      <c r="O77" s="7" t="s">
        <v>149</v>
      </c>
      <c r="P77" s="7">
        <v>8.1580504120999997</v>
      </c>
      <c r="Q77" s="7">
        <v>-176.1902657</v>
      </c>
    </row>
    <row r="78" spans="1:17" x14ac:dyDescent="0.35">
      <c r="A78" s="3" t="s">
        <v>134</v>
      </c>
      <c r="B78" s="21" t="s">
        <v>233</v>
      </c>
      <c r="C78" s="7" t="s">
        <v>9</v>
      </c>
      <c r="D78" s="7" t="s">
        <v>18</v>
      </c>
      <c r="E78" s="1"/>
      <c r="F78" s="1"/>
      <c r="G78" s="1">
        <f>1313.91*11</f>
        <v>14453.01</v>
      </c>
      <c r="H78" s="1">
        <v>159165</v>
      </c>
      <c r="I78" s="1"/>
      <c r="J78" s="1">
        <v>27452</v>
      </c>
      <c r="K78" s="1">
        <f>SUM('Master table catch from report'!$E78:$J78)</f>
        <v>201070.01</v>
      </c>
      <c r="L78" s="7">
        <v>2021</v>
      </c>
      <c r="M78" s="19">
        <v>46265</v>
      </c>
      <c r="N78" s="7" t="s">
        <v>200</v>
      </c>
      <c r="O78" s="7" t="s">
        <v>42</v>
      </c>
      <c r="P78" s="7">
        <v>-11.95334779</v>
      </c>
      <c r="Q78" s="7">
        <v>-168.5742127</v>
      </c>
    </row>
    <row r="79" spans="1:17" x14ac:dyDescent="0.35">
      <c r="A79" s="4" t="s">
        <v>160</v>
      </c>
      <c r="B79" s="12" t="s">
        <v>161</v>
      </c>
      <c r="C79" s="7" t="s">
        <v>9</v>
      </c>
      <c r="D79" s="7" t="s">
        <v>18</v>
      </c>
      <c r="E79" s="1"/>
      <c r="F79" s="1"/>
      <c r="G79" s="1"/>
      <c r="H79" s="1">
        <v>86144</v>
      </c>
      <c r="I79" s="1"/>
      <c r="J79" s="1">
        <v>13876</v>
      </c>
      <c r="K79" s="1">
        <f>SUM('Master table catch from report'!$E79:$J79)</f>
        <v>100020</v>
      </c>
      <c r="L79" s="7">
        <v>2023</v>
      </c>
      <c r="M79" s="19" t="s">
        <v>157</v>
      </c>
      <c r="N79" s="7" t="s">
        <v>50</v>
      </c>
      <c r="O79" s="7" t="s">
        <v>51</v>
      </c>
      <c r="P79" s="7">
        <v>21.102149000000001</v>
      </c>
      <c r="Q79" s="7">
        <v>154.29423600000001</v>
      </c>
    </row>
    <row r="80" spans="1:17" x14ac:dyDescent="0.35">
      <c r="A80" s="4" t="s">
        <v>166</v>
      </c>
      <c r="B80" s="12" t="s">
        <v>227</v>
      </c>
      <c r="C80" s="7" t="s">
        <v>9</v>
      </c>
      <c r="D80" s="7" t="s">
        <v>96</v>
      </c>
      <c r="E80" s="1">
        <f>7467.5+2561.6</f>
        <v>10029.1</v>
      </c>
      <c r="F80" s="1"/>
      <c r="G80" s="1"/>
      <c r="H80" s="1"/>
      <c r="I80" s="1"/>
      <c r="J80" s="1"/>
      <c r="K80" s="1">
        <f>SUM('Master table catch from report'!$E80:$J80)</f>
        <v>10029.1</v>
      </c>
      <c r="L80" s="7">
        <v>2023</v>
      </c>
      <c r="M80" s="19">
        <v>46923</v>
      </c>
      <c r="N80" s="7" t="s">
        <v>64</v>
      </c>
      <c r="O80" s="7" t="s">
        <v>23</v>
      </c>
      <c r="P80" s="7">
        <v>16.982778</v>
      </c>
      <c r="Q80" s="7">
        <v>-36.930833</v>
      </c>
    </row>
    <row r="81" spans="1:17" x14ac:dyDescent="0.35">
      <c r="A81" s="3" t="s">
        <v>136</v>
      </c>
      <c r="B81" s="21" t="s">
        <v>92</v>
      </c>
      <c r="C81" s="7" t="s">
        <v>9</v>
      </c>
      <c r="D81" s="7" t="s">
        <v>223</v>
      </c>
      <c r="E81" s="1">
        <v>93</v>
      </c>
      <c r="F81" s="1"/>
      <c r="G81" s="1"/>
      <c r="H81" s="1"/>
      <c r="I81" s="1"/>
      <c r="J81" s="1">
        <v>550</v>
      </c>
      <c r="K81" s="1">
        <f>SUM('Master table catch from report'!$E81:$J81)</f>
        <v>643</v>
      </c>
      <c r="L81" s="7">
        <v>2018</v>
      </c>
      <c r="M81" s="19">
        <v>47162</v>
      </c>
      <c r="N81" s="7" t="s">
        <v>200</v>
      </c>
      <c r="O81" s="7" t="s">
        <v>93</v>
      </c>
      <c r="P81" s="7">
        <v>34.9</v>
      </c>
      <c r="Q81" s="7">
        <v>-71.8</v>
      </c>
    </row>
    <row r="82" spans="1:17" x14ac:dyDescent="0.35">
      <c r="A82" s="4" t="s">
        <v>144</v>
      </c>
      <c r="B82" s="12" t="s">
        <v>94</v>
      </c>
      <c r="C82" s="7" t="s">
        <v>9</v>
      </c>
      <c r="D82" s="7" t="s">
        <v>18</v>
      </c>
      <c r="E82" s="1"/>
      <c r="F82" s="1"/>
      <c r="G82" s="1">
        <v>4659</v>
      </c>
      <c r="H82" s="1">
        <f>23535.2+33940</f>
        <v>57475.199999999997</v>
      </c>
      <c r="I82" s="1"/>
      <c r="J82" s="1">
        <f>3079.4+6083</f>
        <v>9162.4</v>
      </c>
      <c r="K82" s="1">
        <f>SUM('Master table catch from report'!$E82:$J82)</f>
        <v>71296.599999999991</v>
      </c>
      <c r="L82" s="7">
        <v>2023</v>
      </c>
      <c r="M82" s="19">
        <v>46575</v>
      </c>
      <c r="N82" s="7" t="s">
        <v>11</v>
      </c>
      <c r="O82" s="7" t="s">
        <v>42</v>
      </c>
      <c r="P82" s="7">
        <v>-40.4</v>
      </c>
      <c r="Q82" s="7">
        <v>-155.5</v>
      </c>
    </row>
    <row r="83" spans="1:17" x14ac:dyDescent="0.35">
      <c r="A83" s="4" t="s">
        <v>144</v>
      </c>
      <c r="B83" s="12" t="s">
        <v>94</v>
      </c>
      <c r="C83" s="7" t="s">
        <v>17</v>
      </c>
      <c r="D83" s="7" t="s">
        <v>18</v>
      </c>
      <c r="E83" s="1"/>
      <c r="F83" s="1"/>
      <c r="G83" s="1">
        <v>3480</v>
      </c>
      <c r="H83" s="1"/>
      <c r="I83" s="1"/>
      <c r="J83" s="1"/>
      <c r="K83" s="1">
        <f>SUM('Master table catch from report'!$E83:$J83)</f>
        <v>3480</v>
      </c>
      <c r="L83" s="7">
        <v>2023</v>
      </c>
      <c r="M83" s="19">
        <v>46575</v>
      </c>
      <c r="N83" s="7" t="s">
        <v>11</v>
      </c>
      <c r="O83" s="7" t="s">
        <v>42</v>
      </c>
      <c r="P83" s="7">
        <v>-40.4</v>
      </c>
      <c r="Q83" s="7">
        <v>-155.5</v>
      </c>
    </row>
    <row r="84" spans="1:17" x14ac:dyDescent="0.35">
      <c r="A84" s="6" t="s">
        <v>137</v>
      </c>
      <c r="B84" s="9" t="s">
        <v>95</v>
      </c>
      <c r="C84" s="7" t="s">
        <v>9</v>
      </c>
      <c r="D84" s="7" t="s">
        <v>96</v>
      </c>
      <c r="E84" s="1"/>
      <c r="F84" s="1">
        <v>71.44</v>
      </c>
      <c r="G84" s="1"/>
      <c r="H84" s="1"/>
      <c r="I84" s="1"/>
      <c r="J84" s="1"/>
      <c r="K84" s="1">
        <f>SUM('Master table catch from report'!$E84:$J84)</f>
        <v>71.44</v>
      </c>
      <c r="L84" s="7">
        <v>2023</v>
      </c>
      <c r="M84" s="19">
        <v>46062</v>
      </c>
      <c r="N84" s="7" t="s">
        <v>50</v>
      </c>
      <c r="O84" s="7" t="s">
        <v>72</v>
      </c>
      <c r="P84" s="7">
        <v>57</v>
      </c>
      <c r="Q84" s="7">
        <v>-25</v>
      </c>
    </row>
    <row r="85" spans="1:17" x14ac:dyDescent="0.35">
      <c r="A85" s="3" t="s">
        <v>138</v>
      </c>
      <c r="B85" s="21" t="s">
        <v>97</v>
      </c>
      <c r="C85" s="7" t="s">
        <v>9</v>
      </c>
      <c r="D85" s="7" t="s">
        <v>18</v>
      </c>
      <c r="E85" s="1"/>
      <c r="F85" s="1"/>
      <c r="G85" s="1">
        <f>1576*2</f>
        <v>3152</v>
      </c>
      <c r="H85" s="1">
        <f>19761.667*2</f>
        <v>39523.334000000003</v>
      </c>
      <c r="I85" s="1"/>
      <c r="J85" s="1">
        <v>10552</v>
      </c>
      <c r="K85" s="1">
        <f>SUM('Master table catch from report'!$E85:$J85)</f>
        <v>53227.334000000003</v>
      </c>
      <c r="L85" s="7">
        <v>2024</v>
      </c>
      <c r="M85" s="19">
        <v>47107</v>
      </c>
      <c r="N85" s="7" t="s">
        <v>90</v>
      </c>
      <c r="O85" s="7" t="s">
        <v>42</v>
      </c>
      <c r="P85" s="7">
        <v>0</v>
      </c>
      <c r="Q85" s="7">
        <v>162.68899999999999</v>
      </c>
    </row>
  </sheetData>
  <hyperlinks>
    <hyperlink ref="B2" r:id="rId1" display="AAFA &amp; WFOA North Pacific Albacore troll" xr:uid="{C10A67D3-401B-4506-A69E-58CB23A24E64}"/>
    <hyperlink ref="B3" r:id="rId2" display="AAFA &amp; WFOA South Pacific Albacore troll" xr:uid="{2A7A1C34-2E1F-4CE7-B91D-A514F0FFB64E}"/>
    <hyperlink ref="B19" r:id="rId3" xr:uid="{6CE90901-FB83-47B6-9ED1-C66D88E7A4C5}"/>
    <hyperlink ref="B55" r:id="rId4" xr:uid="{C337094D-5E0A-43B8-B68F-A8D1096D94B9}"/>
    <hyperlink ref="B74" r:id="rId5" xr:uid="{93B7DF3B-CE19-4D81-BF9A-7C8004DE9815}"/>
    <hyperlink ref="B45" r:id="rId6" display="Japanese Pole and Line Skipjack and Albacore Tuna Fishery" xr:uid="{9E0747CC-738C-41E4-9C7E-3F035759D278}"/>
    <hyperlink ref="B11" r:id="rId7" display="American Samoa EEZ Albacore and Yellowfin Longline Fishery" xr:uid="{38D7973A-7A79-4E12-80A4-0E5EF04B6D1B}"/>
    <hyperlink ref="B36" r:id="rId8" display="French Polynesia albacore and yellowfin longline fishery" xr:uid="{3383011D-43B5-4FD0-802D-CF967C2BE4EF}"/>
    <hyperlink ref="B49" r:id="rId9" xr:uid="{E77D3C98-08E3-4EF9-BDC1-6954AE2252D9}"/>
    <hyperlink ref="B16" r:id="rId10" display="Australian Eastern Tuna and Billfish Fishery" xr:uid="{772E970D-5903-470A-B5B5-F2DA4F26C8DD}"/>
    <hyperlink ref="B58" r:id="rId11" display="Owasebussan North Pacific albacore, bigeye and yellowfin longline" xr:uid="{1D1CF4D2-5C31-4A6D-B116-2D1E40060EC0}"/>
    <hyperlink ref="B50" r:id="rId12" xr:uid="{8117653B-9722-44A4-9E2B-804837327842}"/>
    <hyperlink ref="B4" r:id="rId13" xr:uid="{2E39991A-C254-401B-82B3-880A88E90EF4}"/>
    <hyperlink ref="B52" r:id="rId14" xr:uid="{0B492AF8-B9E8-43FC-A601-340DD4FD7810}"/>
    <hyperlink ref="B61" r:id="rId15" display="PNA Western and Central Pacific skipjack tuna" xr:uid="{23301323-DBC0-4BF2-AB9E-5EE3888898C0}"/>
    <hyperlink ref="B78" r:id="rId16" display="Tri Marine WCPO purse seine skipjack and yellowfin tuna" xr:uid="{52F0DFD9-A5AF-4320-B3FD-938545D68EF3}"/>
    <hyperlink ref="B62" r:id="rId17" xr:uid="{83C65CF2-322E-4803-A4E6-797C4E577C38}"/>
    <hyperlink ref="B23" r:id="rId18" xr:uid="{D7C7B24F-1016-481E-856C-D8B9D8E3C420}"/>
    <hyperlink ref="B44" r:id="rId19" display="Indonesia pole-and-line and handline, skipjack and yellowfin tuna" xr:uid="{675475A1-9CF1-45C9-B203-F486ED0C26D6}"/>
    <hyperlink ref="B53" r:id="rId20" xr:uid="{B19C4D61-C566-4926-A1F4-FC8BE16C31E1}"/>
    <hyperlink ref="B32" r:id="rId21" xr:uid="{DCDB2C97-EE0C-4AC6-8251-801279FFAA4E}"/>
    <hyperlink ref="B34" r:id="rId22" display="Eastern Pacific Purse Seine Skipjack and Yellowfin tuna fishery" xr:uid="{A4BCA8C9-54D3-4634-A527-A20B6AA36B3F}"/>
    <hyperlink ref="B35" r:id="rId23" display="Fiji albacore, yellowfin and bigey tuna longline" xr:uid="{19AEF476-9030-46C2-817B-3D988B702962}"/>
    <hyperlink ref="B12" r:id="rId24" display="ANABAC Atlantic Unassociated Purse Seine Yellowfin Tuna Fishery" xr:uid="{68C480EA-686F-4DD0-91A6-60AB4B2C8296}"/>
    <hyperlink ref="B60" r:id="rId25" display="Philippine Small-Scale Yellowfin Tuna Handline Fishery" xr:uid="{CC313995-7607-4738-A481-9C1ADD4D9832}"/>
    <hyperlink ref="B42" r:id="rId26" display="https://fisheries.msc.org/en/fisheries/hawaii-longline-swordfish-bigeye-and-yellowfin-tuna-fishery/" xr:uid="{E6087149-F548-496E-B080-15CA551E2589}"/>
    <hyperlink ref="B81" r:id="rId27" tooltip="US North Atlantic swordfish, yellowfin, and albacore tuna fishery" display="https://fisheries.msc.org/en/fisheries/us-north-atlantic-swordfish-yellowfin-and-albacore-tuna-fishery/@@view" xr:uid="{3A196DF6-03A6-42F0-BC2E-2293067DC7CA}"/>
    <hyperlink ref="B5" r:id="rId28" xr:uid="{D43FEB8C-ACB1-41C9-AC7C-C683797EA6FA}"/>
    <hyperlink ref="B6" r:id="rId29" xr:uid="{F279E255-5B61-4DE9-B168-69229055B573}"/>
    <hyperlink ref="B82" r:id="rId30" display="https://fisheries.msc.org/en/fisheries/us-pacific-tuna-group-purse-seine-fsc-and-fad-set-fishery/" xr:uid="{95A15F6E-5F8A-45A1-A034-BD45408A2D51}"/>
    <hyperlink ref="B54" r:id="rId31" display="https://fisheries.msc.org/en/fisheries/nauru-skipjack-yellowfin-and-bigeye-tuna-purse-seine-fishery/" xr:uid="{996E57FE-94CF-4DD2-8BC2-1AC85F063D5C}"/>
    <hyperlink ref="B76" r:id="rId32" display="https://fisheries.msc.org/en/fisheries/tri-marine-atlantic-albacore-longline-fishery/" xr:uid="{8138066C-6E7B-439F-9CDA-ECA89306BA73}"/>
    <hyperlink ref="B84" r:id="rId33" display="https://fisheries.msc.org/en/fisheries/usufuku-honten-northeast-atlantic-longline-bluefin-tuna-fishery/@@view" xr:uid="{996CBB93-478A-4DA9-B852-D0A755692E76}"/>
    <hyperlink ref="B64" r:id="rId34" display="https://fisheries.msc.org/en/fisheries/sathoan-french-mediterranean-bluefin-tuna-artisanal-longline-and-handline-fishery/" xr:uid="{AD475294-E9E8-4678-9C3F-0B7502E163E3}"/>
    <hyperlink ref="B46" r:id="rId35" display="https://fisheries.msc.org/en/fisheries/jc-mackintoshs-greenstick-handline-and-fishing-rod-bluefin-tuna-fishery/@@view" xr:uid="{A9E08DC1-9CD7-4483-A52F-7DF757789291}"/>
    <hyperlink ref="B77" r:id="rId36" xr:uid="{5A8D8D2B-4EED-4338-B045-139FBE572EC1}"/>
    <hyperlink ref="B65" r:id="rId37" display="https://fisheries.msc.org/en/fisheries/si-wcpo-skipjack-and-yellowfin-tuna-purse-seine-fishery/" xr:uid="{F95FFF1E-132E-49E0-A564-C5B03224FBA4}"/>
    <hyperlink ref="B38" r:id="rId38" xr:uid="{DE19916B-501E-488B-A297-F04C82AB4AAB}"/>
    <hyperlink ref="B79" r:id="rId39" xr:uid="{49EDD3D1-4A6A-4AD6-A5B0-9AAE26A8967B}"/>
    <hyperlink ref="B26" r:id="rId40" xr:uid="{9983723C-9123-4092-8815-0E6D85BD57A8}"/>
    <hyperlink ref="B80" r:id="rId41" xr:uid="{D975A5C3-61BA-4B7F-A784-3D4DEF4E743A}"/>
    <hyperlink ref="B47" r:id="rId42" xr:uid="{FF4493E4-B517-4648-809D-40C8429EA20F}"/>
    <hyperlink ref="B68" r:id="rId43" display="NFD Solomon Islands free school and FAD purse seine skipjack tuna" xr:uid="{95748CD3-B3AF-4176-A598-C128D9161BFC}"/>
    <hyperlink ref="B9" r:id="rId44" xr:uid="{1C6E9520-50A5-46A9-970D-CDEF747917C6}"/>
    <hyperlink ref="B10" r:id="rId45" xr:uid="{59A08014-538F-4F7C-AF81-DB10F3F4C1CD}"/>
    <hyperlink ref="B57" r:id="rId46" xr:uid="{9AF204A8-B95C-4E44-9232-E1AE0E86AAB4}"/>
    <hyperlink ref="B37" r:id="rId47" xr:uid="{014C677A-CC4F-4D45-A83F-F781E57AD7CC}"/>
    <hyperlink ref="B51" r:id="rId48" xr:uid="{B5A2A99F-F1CC-4B29-BFF0-40BE59FE7F64}"/>
    <hyperlink ref="B67" r:id="rId49" display="Silla, NFCD WCPO purse seine tuna fishery" xr:uid="{69CFD61D-5F28-4DBE-AFA6-4E0B4159CF66}"/>
    <hyperlink ref="B66" r:id="rId50" xr:uid="{F83266D9-5E58-4BB9-A408-3320D9A3919F}"/>
    <hyperlink ref="B14" r:id="rId51" xr:uid="{ED4C5BD5-301F-476B-8B88-0A5EA9C2B4CE}"/>
    <hyperlink ref="B13" r:id="rId52" xr:uid="{56FB49B9-FC20-4B91-B273-9E4D5B5F3B9F}"/>
    <hyperlink ref="B15" r:id="rId53" display="Atún Sostenible Tropical Pacific Yellowfin and Skipjack Purse Seine Tuna Fishery" xr:uid="{2FF3B2F3-94CE-4FD0-84F9-CA225CD76759}"/>
    <hyperlink ref="B59" r:id="rId54" xr:uid="{E04713CF-4D02-43A6-B3DB-AF40BB0140AF}"/>
    <hyperlink ref="B24" r:id="rId55" xr:uid="{D1822666-48D3-4F37-A71B-8BC41381E2F1}"/>
    <hyperlink ref="B75" r:id="rId56" xr:uid="{B454915E-52B6-4D7E-890D-619B3BEE464A}"/>
    <hyperlink ref="B21" r:id="rId57" xr:uid="{14B3CD99-8640-4697-B304-DFDE5DCD7286}"/>
    <hyperlink ref="B63" r:id="rId58" xr:uid="{3DF343C9-7B89-4CB6-A421-D4468E514153}"/>
    <hyperlink ref="B31" r:id="rId59" xr:uid="{FA97DD84-7FF5-414C-BF89-74B98295D824}"/>
    <hyperlink ref="B20" r:id="rId60" xr:uid="{5597F67E-EB80-4601-AD79-00F0E7BF82A9}"/>
    <hyperlink ref="B71" r:id="rId61" display="FSM EEZ yellowfin and bigeye tuna longline" xr:uid="{5005DF53-F73B-4F78-9A3D-DD1B99B04C5C}"/>
    <hyperlink ref="B70" r:id="rId62" xr:uid="{A480CC4D-2F48-447D-B763-0B9E0B331FE2}"/>
    <hyperlink ref="B69" r:id="rId63" xr:uid="{055F7EA5-F6A4-41F6-B97C-25646B3A901F}"/>
    <hyperlink ref="B56" r:id="rId64" xr:uid="{D0716C0A-7889-4010-B3A0-70256181EC34}"/>
    <hyperlink ref="B72" r:id="rId65" display="FSM EEZ yellowfin and bigeye tuna longline" xr:uid="{1B51B0D6-90CD-4C5B-AEC2-C498494C2438}"/>
    <hyperlink ref="B17" r:id="rId66" xr:uid="{2EB65BC5-AF42-4763-ACC2-324ECAFD5B82}"/>
    <hyperlink ref="B22" r:id="rId67" xr:uid="{EDCB3F98-3C94-4956-AAA6-4CF5374B11A1}"/>
    <hyperlink ref="B18" r:id="rId68" xr:uid="{A14F6854-81C0-43F9-ACAB-F7F2035E1C8F}"/>
    <hyperlink ref="B41" r:id="rId69" xr:uid="{E40B81AE-6ABB-406A-9A14-2212ECD79A1A}"/>
    <hyperlink ref="B40" r:id="rId70" xr:uid="{F22F8E97-8DAC-438B-8AD7-CD3D01ABB917}"/>
    <hyperlink ref="B83" r:id="rId71" display="https://fisheries.msc.org/en/fisheries/us-pacific-tuna-group-purse-seine-fsc-and-fad-set-fishery/" xr:uid="{6483050D-7688-4DFC-9077-2AF9A0E407FF}"/>
    <hyperlink ref="B39" r:id="rId72" xr:uid="{8E649652-0CF3-4474-9FE8-DC5B32F054D3}"/>
    <hyperlink ref="B33" r:id="rId73" xr:uid="{C09C2582-CB42-4D8A-BA17-D470DCE40820}"/>
    <hyperlink ref="B29" r:id="rId74" display="Tropical Pacific yellowfin and skipjack free-school purse seine fishery" xr:uid="{806BE3DB-8965-4915-81C5-E57C25977763}"/>
    <hyperlink ref="B30" r:id="rId75" display="Tropical Pacific yellowfin and skipjack free-school purse seine fishery" xr:uid="{B4F337D6-04EF-4893-89E1-4188F93066AC}"/>
    <hyperlink ref="B28" r:id="rId76" display="Pan Pacific yellowfin, bigeye and albacore longline fishery" xr:uid="{DAAEC280-0C14-4AC0-9EA2-C2946DBD20D1}"/>
    <hyperlink ref="B73" r:id="rId77" display="SZLC CSFC FZLC &amp; MIFV RMI EEZ Longline Yellowfin and Bigeye Tuna" xr:uid="{2193B561-F571-42B7-95A3-8CE28A0E4EC3}"/>
    <hyperlink ref="B7" r:id="rId78" xr:uid="{B84AACAB-175C-4E2E-AF14-106B9EB7D78D}"/>
    <hyperlink ref="B48" r:id="rId79" xr:uid="{9FD466D4-6412-4DCE-B999-B847290F72B5}"/>
    <hyperlink ref="B43" r:id="rId80" xr:uid="{2588309E-CDDD-4CDF-B8EE-F95E77BA5030}"/>
    <hyperlink ref="B25" r:id="rId81" display="Dakartuna Atlantic pole and line tuna fishery " xr:uid="{378E5C60-9F46-419B-94B9-4B2F3A74839F}"/>
    <hyperlink ref="B27" r:id="rId82" xr:uid="{8A722B53-F25C-418E-A8AD-5DCAB07DE070}"/>
    <hyperlink ref="B85" r:id="rId83" display="WPSTA Western and Central Pacific Skipjack and Yellowfin  Purse Seine Fishery" xr:uid="{9F440DCF-CF5F-46E1-93BE-60F7E4877D8A}"/>
    <hyperlink ref="B8" r:id="rId84" xr:uid="{0D582006-4C07-4B4A-BB87-14FA244ECFD9}"/>
  </hyperlinks>
  <pageMargins left="0.7" right="0.7" top="0.75" bottom="0.75" header="0.3" footer="0.3"/>
  <legacyDrawing r:id="rId85"/>
  <tableParts count="1">
    <tablePart r:id="rId86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46B03-07BA-4E69-AB14-12D35E3FE59F}">
  <sheetPr codeName="Sheet3"/>
  <dimension ref="A1:Q85"/>
  <sheetViews>
    <sheetView showZeros="0" tabSelected="1" workbookViewId="0">
      <pane xSplit="2" ySplit="1" topLeftCell="C15" activePane="bottomRight" state="frozen"/>
      <selection pane="topRight" activeCell="C1" sqref="C1"/>
      <selection pane="bottomLeft" activeCell="A2" sqref="A2"/>
      <selection pane="bottomRight" activeCell="K2" sqref="K2:K85"/>
    </sheetView>
  </sheetViews>
  <sheetFormatPr baseColWidth="10" defaultColWidth="8.7265625" defaultRowHeight="14.5" x14ac:dyDescent="0.35"/>
  <cols>
    <col min="1" max="1" width="13" customWidth="1"/>
    <col min="2" max="2" width="56.7265625" customWidth="1"/>
    <col min="3" max="3" width="19.7265625" customWidth="1"/>
    <col min="4" max="4" width="14.26953125" customWidth="1"/>
    <col min="5" max="5" width="11" customWidth="1"/>
    <col min="6" max="6" width="17.54296875" customWidth="1"/>
    <col min="7" max="7" width="13.54296875" customWidth="1"/>
    <col min="8" max="9" width="14.7265625" customWidth="1"/>
    <col min="10" max="10" width="16.26953125" customWidth="1"/>
    <col min="11" max="11" width="14.7265625" customWidth="1"/>
    <col min="12" max="12" width="12.26953125" customWidth="1"/>
    <col min="13" max="13" width="22.7265625" customWidth="1"/>
    <col min="14" max="14" width="10.26953125" customWidth="1"/>
    <col min="15" max="15" width="21.26953125" customWidth="1"/>
    <col min="16" max="16" width="10.453125" customWidth="1"/>
    <col min="17" max="17" width="12" customWidth="1"/>
  </cols>
  <sheetData>
    <row r="1" spans="1:17" x14ac:dyDescent="0.35">
      <c r="A1" s="13" t="s">
        <v>139</v>
      </c>
      <c r="B1" s="14" t="s">
        <v>0</v>
      </c>
      <c r="C1" s="13" t="s">
        <v>1</v>
      </c>
      <c r="D1" s="13" t="s">
        <v>2</v>
      </c>
      <c r="E1" s="13" t="s">
        <v>151</v>
      </c>
      <c r="F1" s="13" t="s">
        <v>155</v>
      </c>
      <c r="G1" s="13" t="s">
        <v>152</v>
      </c>
      <c r="H1" s="13" t="s">
        <v>153</v>
      </c>
      <c r="I1" s="13" t="s">
        <v>237</v>
      </c>
      <c r="J1" s="13" t="s">
        <v>154</v>
      </c>
      <c r="K1" s="13" t="s">
        <v>3</v>
      </c>
      <c r="L1" s="13" t="s">
        <v>146</v>
      </c>
      <c r="M1" s="13" t="s">
        <v>156</v>
      </c>
      <c r="N1" s="13" t="s">
        <v>4</v>
      </c>
      <c r="O1" s="13" t="s">
        <v>5</v>
      </c>
      <c r="P1" s="13" t="s">
        <v>6</v>
      </c>
      <c r="Q1" s="13" t="s">
        <v>7</v>
      </c>
    </row>
    <row r="2" spans="1:17" x14ac:dyDescent="0.35">
      <c r="A2" s="3" t="s">
        <v>104</v>
      </c>
      <c r="B2" s="8" t="s">
        <v>8</v>
      </c>
      <c r="C2" s="7" t="str">
        <f>'Master table catch from report'!C2</f>
        <v>Certified</v>
      </c>
      <c r="D2" s="7" t="str">
        <f>'Master table catch from report'!D2</f>
        <v>Hooks And Lines - Trolling lines</v>
      </c>
      <c r="E2" s="1">
        <f>'Master table catch from report'!E2</f>
        <v>7317</v>
      </c>
      <c r="F2" s="1">
        <f>'Master table catch from report'!F2</f>
        <v>0</v>
      </c>
      <c r="G2" s="1">
        <f>'Master table catch from report'!G2</f>
        <v>0</v>
      </c>
      <c r="H2" s="1">
        <f>'Master table catch from report'!H2</f>
        <v>0</v>
      </c>
      <c r="I2" s="1">
        <f>'Master table catch from report'!I2</f>
        <v>0</v>
      </c>
      <c r="J2" s="1">
        <f>'Master table catch from report'!J2</f>
        <v>0</v>
      </c>
      <c r="K2" s="1">
        <f>SUM('Master table adjusted WCPO'!$E2:$J2)</f>
        <v>7317</v>
      </c>
      <c r="L2" s="7">
        <f>'Master table catch from report'!L2</f>
        <v>2020</v>
      </c>
      <c r="M2" s="19">
        <f>'Master table catch from report'!M2</f>
        <v>47251</v>
      </c>
      <c r="N2" s="7" t="str">
        <f>'Master table catch from report'!N2</f>
        <v>United States of America</v>
      </c>
      <c r="O2" s="7" t="str">
        <f>'Master table catch from report'!O2</f>
        <v>67 (Pacific, Northeast), 77 (Pacific, Eastern Central)</v>
      </c>
      <c r="P2" s="7">
        <f>'Master table catch from report'!P2</f>
        <v>43.897892390000003</v>
      </c>
      <c r="Q2" s="7">
        <f>'Master table catch from report'!Q2</f>
        <v>-141.50390630000001</v>
      </c>
    </row>
    <row r="3" spans="1:17" x14ac:dyDescent="0.35">
      <c r="A3" s="3" t="s">
        <v>105</v>
      </c>
      <c r="B3" s="8" t="s">
        <v>13</v>
      </c>
      <c r="C3" s="7" t="str">
        <f>'Master table catch from report'!C3</f>
        <v>Certified</v>
      </c>
      <c r="D3" s="7" t="str">
        <f>'Master table catch from report'!D3</f>
        <v>Hooks And Lines - Trolling lines</v>
      </c>
      <c r="E3" s="1">
        <f>'Master table catch from report'!E3</f>
        <v>1913</v>
      </c>
      <c r="F3" s="1">
        <f>'Master table catch from report'!F3</f>
        <v>0</v>
      </c>
      <c r="G3" s="1">
        <f>'Master table catch from report'!G3</f>
        <v>0</v>
      </c>
      <c r="H3" s="1">
        <f>'Master table catch from report'!H3</f>
        <v>0</v>
      </c>
      <c r="I3" s="1">
        <f>'Master table catch from report'!I3</f>
        <v>0</v>
      </c>
      <c r="J3" s="1">
        <f>'Master table catch from report'!J3</f>
        <v>0</v>
      </c>
      <c r="K3" s="1">
        <f>SUM('Master table adjusted WCPO'!$E3:$J3)</f>
        <v>1913</v>
      </c>
      <c r="L3" s="7">
        <f>'Master table catch from report'!L3</f>
        <v>2020</v>
      </c>
      <c r="M3" s="19">
        <f>'Master table catch from report'!M3</f>
        <v>47251</v>
      </c>
      <c r="N3" s="7" t="str">
        <f>'Master table catch from report'!N3</f>
        <v>United States of America</v>
      </c>
      <c r="O3" s="7" t="str">
        <f>'Master table catch from report'!O3</f>
        <v>77 (Pacific, Eastern Central), 81 (Pacific, Southwest)</v>
      </c>
      <c r="P3" s="7">
        <f>'Master table catch from report'!P3</f>
        <v>-38.410558250000001</v>
      </c>
      <c r="Q3" s="7">
        <f>'Master table catch from report'!Q3</f>
        <v>-129.90234380000001</v>
      </c>
    </row>
    <row r="4" spans="1:17" x14ac:dyDescent="0.35">
      <c r="A4" s="3" t="s">
        <v>106</v>
      </c>
      <c r="B4" s="8" t="s">
        <v>16</v>
      </c>
      <c r="C4" s="7" t="str">
        <f>'Master table catch from report'!C4</f>
        <v>Certified</v>
      </c>
      <c r="D4" s="7" t="str">
        <f>'Master table catch from report'!D4</f>
        <v>Surrounding Nets - With purse lines (purse seines)</v>
      </c>
      <c r="E4" s="1">
        <f>'Master table catch from report'!E4</f>
        <v>0</v>
      </c>
      <c r="F4" s="1">
        <f>'Master table catch from report'!F4</f>
        <v>0</v>
      </c>
      <c r="G4" s="1">
        <f>'Master table catch from report'!G4</f>
        <v>8068</v>
      </c>
      <c r="H4" s="1">
        <f>'Master table catch from report'!H4</f>
        <v>17176</v>
      </c>
      <c r="I4" s="1">
        <f>'Master table catch from report'!I4</f>
        <v>0</v>
      </c>
      <c r="J4" s="1">
        <f>'Master table catch from report'!J4</f>
        <v>2577</v>
      </c>
      <c r="K4" s="1">
        <f>SUM('Master table adjusted WCPO'!$E4:$J4)</f>
        <v>27821</v>
      </c>
      <c r="L4" s="7">
        <f>'Master table catch from report'!L4</f>
        <v>2022</v>
      </c>
      <c r="M4" s="19">
        <f>'Master table catch from report'!M4</f>
        <v>46462</v>
      </c>
      <c r="N4" s="7" t="str">
        <f>'Master table catch from report'!N4</f>
        <v>Spain</v>
      </c>
      <c r="O4" s="7" t="str">
        <f>'Master table catch from report'!O4</f>
        <v>71 (Pacific, Western Central)</v>
      </c>
      <c r="P4" s="7">
        <f>'Master table catch from report'!P4</f>
        <v>-0.4</v>
      </c>
      <c r="Q4" s="7">
        <f>'Master table catch from report'!Q4</f>
        <v>132.6</v>
      </c>
    </row>
    <row r="5" spans="1:17" x14ac:dyDescent="0.35">
      <c r="A5" s="3" t="s">
        <v>106</v>
      </c>
      <c r="B5" s="8" t="s">
        <v>16</v>
      </c>
      <c r="C5" s="7" t="str">
        <f>'Master table catch from report'!C5</f>
        <v>Certified</v>
      </c>
      <c r="D5" s="7" t="str">
        <f>'Master table catch from report'!D5</f>
        <v>Surrounding Nets - With purse lines (purse seines)</v>
      </c>
      <c r="E5" s="1">
        <f>'Master table catch from report'!E5</f>
        <v>0</v>
      </c>
      <c r="F5" s="1">
        <f>'Master table catch from report'!F5</f>
        <v>0</v>
      </c>
      <c r="G5" s="1">
        <f>'Master table catch from report'!G5</f>
        <v>12068</v>
      </c>
      <c r="H5" s="1">
        <f>'Master table catch from report'!H5</f>
        <v>58847</v>
      </c>
      <c r="I5" s="1">
        <f>'Master table catch from report'!I5</f>
        <v>0</v>
      </c>
      <c r="J5" s="1">
        <f>'Master table catch from report'!J5</f>
        <v>19696</v>
      </c>
      <c r="K5" s="1">
        <f>SUM('Master table adjusted WCPO'!$E5:$J5)</f>
        <v>90611</v>
      </c>
      <c r="L5" s="7">
        <f>'Master table catch from report'!L5</f>
        <v>2022</v>
      </c>
      <c r="M5" s="19">
        <f>'Master table catch from report'!M5</f>
        <v>46462</v>
      </c>
      <c r="N5" s="7" t="str">
        <f>'Master table catch from report'!N5</f>
        <v>Spain</v>
      </c>
      <c r="O5" s="7" t="str">
        <f>'Master table catch from report'!O5</f>
        <v>77 (Pacific, Eastern Central), 87 (Pacific, Southeast)</v>
      </c>
      <c r="P5" s="7">
        <f>'Master table catch from report'!P5</f>
        <v>-0.4</v>
      </c>
      <c r="Q5" s="7">
        <f>'Master table catch from report'!Q5</f>
        <v>-147.5</v>
      </c>
    </row>
    <row r="6" spans="1:17" x14ac:dyDescent="0.35">
      <c r="A6" s="3" t="s">
        <v>106</v>
      </c>
      <c r="B6" s="8" t="s">
        <v>16</v>
      </c>
      <c r="C6" s="7" t="str">
        <f>'Master table catch from report'!C6</f>
        <v>Certified</v>
      </c>
      <c r="D6" s="7" t="str">
        <f>'Master table catch from report'!D6</f>
        <v>Surrounding Nets - With purse lines (purse seines)</v>
      </c>
      <c r="E6" s="1">
        <f>'Master table catch from report'!E6</f>
        <v>0</v>
      </c>
      <c r="F6" s="1">
        <f>'Master table catch from report'!F6</f>
        <v>0</v>
      </c>
      <c r="G6" s="1">
        <f>'Master table catch from report'!G6</f>
        <v>0</v>
      </c>
      <c r="H6" s="1">
        <f>'Master table catch from report'!H6</f>
        <v>100562</v>
      </c>
      <c r="I6" s="1">
        <f>'Master table catch from report'!I6</f>
        <v>0</v>
      </c>
      <c r="J6" s="1">
        <f>'Master table catch from report'!J6</f>
        <v>0</v>
      </c>
      <c r="K6" s="1">
        <f>SUM('Master table adjusted WCPO'!$E6:$J6)</f>
        <v>100562</v>
      </c>
      <c r="L6" s="7">
        <f>'Master table catch from report'!L6</f>
        <v>2022</v>
      </c>
      <c r="M6" s="19">
        <f>'Master table catch from report'!M6</f>
        <v>46462</v>
      </c>
      <c r="N6" s="7" t="str">
        <f>'Master table catch from report'!N6</f>
        <v>Spain</v>
      </c>
      <c r="O6" s="7" t="str">
        <f>'Master table catch from report'!O6</f>
        <v>51 (Indian Ocean, Western), 57 (Indian Ocean, Eastern)</v>
      </c>
      <c r="P6" s="7">
        <f>'Master table catch from report'!P6</f>
        <v>-7.0920597269999996</v>
      </c>
      <c r="Q6" s="7">
        <f>'Master table catch from report'!Q6</f>
        <v>66.650621775000005</v>
      </c>
    </row>
    <row r="7" spans="1:17" x14ac:dyDescent="0.35">
      <c r="A7" s="15" t="s">
        <v>106</v>
      </c>
      <c r="B7" s="16" t="s">
        <v>16</v>
      </c>
      <c r="C7" s="7" t="str">
        <f>'Master table catch from report'!C7</f>
        <v>In-transition to MSC</v>
      </c>
      <c r="D7" s="7" t="str">
        <f>'Master table catch from report'!D7</f>
        <v>Surrounding Nets - With purse lines (purse seines)</v>
      </c>
      <c r="E7" s="1">
        <f>'Master table catch from report'!E7</f>
        <v>0</v>
      </c>
      <c r="F7" s="1">
        <f>'Master table catch from report'!F7</f>
        <v>0</v>
      </c>
      <c r="G7" s="1">
        <f>'Master table catch from report'!G7</f>
        <v>12286.5</v>
      </c>
      <c r="H7" s="1">
        <f>'Master table catch from report'!H7</f>
        <v>0</v>
      </c>
      <c r="I7" s="1">
        <f>'Master table catch from report'!I7</f>
        <v>0</v>
      </c>
      <c r="J7" s="1">
        <f>'Master table catch from report'!J7</f>
        <v>0</v>
      </c>
      <c r="K7" s="1">
        <f>SUM('Master table adjusted WCPO'!$E7:$J7)</f>
        <v>12286.5</v>
      </c>
      <c r="L7" s="7">
        <f>'Master table catch from report'!L7</f>
        <v>2022</v>
      </c>
      <c r="M7" s="19">
        <f>'Master table catch from report'!M7</f>
        <v>46462</v>
      </c>
      <c r="N7" s="7" t="str">
        <f>'Master table catch from report'!N7</f>
        <v>Spain</v>
      </c>
      <c r="O7" s="7" t="str">
        <f>'Master table catch from report'!O7</f>
        <v>51 (Indian Ocean, Western), 57 (Indian Ocean, Eastern)</v>
      </c>
      <c r="P7" s="7">
        <f>'Master table catch from report'!P7</f>
        <v>-7.0920597269999996</v>
      </c>
      <c r="Q7" s="7">
        <f>'Master table catch from report'!Q7</f>
        <v>66.650621775000005</v>
      </c>
    </row>
    <row r="8" spans="1:17" x14ac:dyDescent="0.35">
      <c r="A8" s="3" t="s">
        <v>106</v>
      </c>
      <c r="B8" s="21" t="s">
        <v>16</v>
      </c>
      <c r="C8" s="7" t="str">
        <f>'Master table catch from report'!C8</f>
        <v>In Assessment</v>
      </c>
      <c r="D8" s="7" t="str">
        <f>'Master table catch from report'!D8</f>
        <v>Surrounding Nets - With purse lines (purse seines)</v>
      </c>
      <c r="E8" s="1">
        <f>'Master table catch from report'!E8</f>
        <v>0</v>
      </c>
      <c r="F8" s="1">
        <f>'Master table catch from report'!F8</f>
        <v>0</v>
      </c>
      <c r="G8" s="1">
        <f>'Master table catch from report'!G8</f>
        <v>0</v>
      </c>
      <c r="H8" s="1">
        <f>'Master table catch from report'!H8</f>
        <v>0</v>
      </c>
      <c r="I8" s="1">
        <f>'Master table catch from report'!I8</f>
        <v>0</v>
      </c>
      <c r="J8" s="1">
        <f>'Master table catch from report'!J8</f>
        <v>40724.400000000001</v>
      </c>
      <c r="K8" s="1">
        <f>SUM('Master table adjusted WCPO'!$E8:$J8)</f>
        <v>40724.400000000001</v>
      </c>
      <c r="L8" s="7">
        <f>'Master table catch from report'!L8</f>
        <v>2022</v>
      </c>
      <c r="M8" s="19">
        <f>'Master table catch from report'!M8</f>
        <v>46462</v>
      </c>
      <c r="N8" s="7" t="str">
        <f>'Master table catch from report'!N8</f>
        <v>Spain</v>
      </c>
      <c r="O8" s="7" t="str">
        <f>'Master table catch from report'!O8</f>
        <v>51 (Indian Ocean, Western), 57 (Indian Ocean, Eastern)</v>
      </c>
      <c r="P8" s="7">
        <f>'Master table catch from report'!P8</f>
        <v>-7.0920597269999996</v>
      </c>
      <c r="Q8" s="7">
        <f>'Master table catch from report'!Q8</f>
        <v>66.650621775000005</v>
      </c>
    </row>
    <row r="9" spans="1:17" x14ac:dyDescent="0.35">
      <c r="A9" s="3" t="s">
        <v>106</v>
      </c>
      <c r="B9" s="8" t="s">
        <v>16</v>
      </c>
      <c r="C9" s="7" t="str">
        <f>'Master table catch from report'!C9</f>
        <v>Certified</v>
      </c>
      <c r="D9" s="7" t="str">
        <f>'Master table catch from report'!D9</f>
        <v>Surrounding Nets - With purse lines (purse seines)</v>
      </c>
      <c r="E9" s="1">
        <f>'Master table catch from report'!E9</f>
        <v>0</v>
      </c>
      <c r="F9" s="1">
        <f>'Master table catch from report'!F9</f>
        <v>0</v>
      </c>
      <c r="G9" s="1">
        <f>'Master table catch from report'!G9</f>
        <v>0</v>
      </c>
      <c r="H9" s="1">
        <f>'Master table catch from report'!H9</f>
        <v>30257</v>
      </c>
      <c r="I9" s="1">
        <f>'Master table catch from report'!I9</f>
        <v>0</v>
      </c>
      <c r="J9" s="1">
        <f>'Master table catch from report'!J9</f>
        <v>21005</v>
      </c>
      <c r="K9" s="1">
        <f>SUM('Master table adjusted WCPO'!$E9:$J9)</f>
        <v>51262</v>
      </c>
      <c r="L9" s="7">
        <f>'Master table catch from report'!L9</f>
        <v>2023</v>
      </c>
      <c r="M9" s="19">
        <f>'Master table catch from report'!M9</f>
        <v>46462</v>
      </c>
      <c r="N9" s="7" t="str">
        <f>'Master table catch from report'!N9</f>
        <v>Spain</v>
      </c>
      <c r="O9" s="7" t="str">
        <f>'Master table catch from report'!O9</f>
        <v>31 (Atlantic, Western Central), 34 (Atlantic, Eastern Central), 41 (Atlantic, Southwest), 47 (Atlantic, Southeast)</v>
      </c>
      <c r="P9" s="7">
        <f>'Master table catch from report'!P9</f>
        <v>-7.5</v>
      </c>
      <c r="Q9" s="7">
        <f>'Master table catch from report'!Q9</f>
        <v>-12.2</v>
      </c>
    </row>
    <row r="10" spans="1:17" x14ac:dyDescent="0.35">
      <c r="A10" s="3" t="s">
        <v>106</v>
      </c>
      <c r="B10" s="8" t="s">
        <v>16</v>
      </c>
      <c r="C10" s="7" t="str">
        <f>'Master table catch from report'!C10</f>
        <v>In-transition to MSC</v>
      </c>
      <c r="D10" s="7" t="str">
        <f>'Master table catch from report'!D10</f>
        <v>Surrounding Nets - With purse lines (purse seines)</v>
      </c>
      <c r="E10" s="1">
        <f>'Master table catch from report'!E10</f>
        <v>0</v>
      </c>
      <c r="F10" s="1">
        <f>'Master table catch from report'!F10</f>
        <v>0</v>
      </c>
      <c r="G10" s="1">
        <f>'Master table catch from report'!G10</f>
        <v>11777</v>
      </c>
      <c r="H10" s="1">
        <f>'Master table catch from report'!H10</f>
        <v>0</v>
      </c>
      <c r="I10" s="1">
        <f>'Master table catch from report'!I10</f>
        <v>0</v>
      </c>
      <c r="J10" s="1">
        <f>'Master table catch from report'!J10</f>
        <v>0</v>
      </c>
      <c r="K10" s="1">
        <f>SUM('Master table adjusted WCPO'!$E10:$J10)</f>
        <v>11777</v>
      </c>
      <c r="L10" s="7" t="str">
        <f>'Master table catch from report'!L10</f>
        <v>???</v>
      </c>
      <c r="M10" s="19">
        <f>'Master table catch from report'!M10</f>
        <v>46462</v>
      </c>
      <c r="N10" s="7" t="str">
        <f>'Master table catch from report'!N10</f>
        <v>Spain</v>
      </c>
      <c r="O10" s="7" t="str">
        <f>'Master table catch from report'!O10</f>
        <v>31 (Atlantic, Western Central), 34 (Atlantic, Eastern Central), 41 (Atlantic, Southwest), 47 (Atlantic, Southeast)</v>
      </c>
      <c r="P10" s="7">
        <f>'Master table catch from report'!P10</f>
        <v>-7.5</v>
      </c>
      <c r="Q10" s="7">
        <f>'Master table catch from report'!Q10</f>
        <v>-12.2</v>
      </c>
    </row>
    <row r="11" spans="1:17" x14ac:dyDescent="0.35">
      <c r="A11" s="3" t="s">
        <v>107</v>
      </c>
      <c r="B11" s="8" t="s">
        <v>199</v>
      </c>
      <c r="C11" s="7" t="str">
        <f>'Master table catch from report'!C11</f>
        <v>Certified</v>
      </c>
      <c r="D11" s="7" t="str">
        <f>'Master table catch from report'!D11</f>
        <v>Hooks And Lines - Longlines</v>
      </c>
      <c r="E11" s="1">
        <f>'Master table catch from report'!E11</f>
        <v>1073</v>
      </c>
      <c r="F11" s="1">
        <f>'Master table catch from report'!F11</f>
        <v>0</v>
      </c>
      <c r="G11" s="1">
        <f>'Master table catch from report'!G11</f>
        <v>19</v>
      </c>
      <c r="H11" s="1">
        <f>'Master table catch from report'!H11</f>
        <v>39</v>
      </c>
      <c r="I11" s="1">
        <f>'Master table catch from report'!I11</f>
        <v>0</v>
      </c>
      <c r="J11" s="1">
        <f>'Master table catch from report'!J11</f>
        <v>148</v>
      </c>
      <c r="K11" s="1">
        <f>SUM('Master table adjusted WCPO'!$E11:$J11)</f>
        <v>1279</v>
      </c>
      <c r="L11" s="7">
        <f>'Master table catch from report'!L11</f>
        <v>2022</v>
      </c>
      <c r="M11" s="19">
        <f>'Master table catch from report'!M11</f>
        <v>46954</v>
      </c>
      <c r="N11" s="7" t="str">
        <f>'Master table catch from report'!N11</f>
        <v>American Samoa</v>
      </c>
      <c r="O11" s="7" t="str">
        <f>'Master table catch from report'!O11</f>
        <v>81 (Pacific, Southwest)</v>
      </c>
      <c r="P11" s="7">
        <f>'Master table catch from report'!P11</f>
        <v>-14.31854</v>
      </c>
      <c r="Q11" s="7">
        <f>'Master table catch from report'!Q11</f>
        <v>-170.65761800000001</v>
      </c>
    </row>
    <row r="12" spans="1:17" x14ac:dyDescent="0.35">
      <c r="A12" s="3" t="s">
        <v>108</v>
      </c>
      <c r="B12" s="8" t="s">
        <v>27</v>
      </c>
      <c r="C12" s="7" t="str">
        <f>'Master table catch from report'!C12</f>
        <v>Certified</v>
      </c>
      <c r="D12" s="7" t="str">
        <f>'Master table catch from report'!D12</f>
        <v>Surrounding Nets - With purse lines (purse seines)</v>
      </c>
      <c r="E12" s="1">
        <f>'Master table catch from report'!E12</f>
        <v>0</v>
      </c>
      <c r="F12" s="1">
        <f>'Master table catch from report'!F12</f>
        <v>0</v>
      </c>
      <c r="G12" s="1">
        <f>'Master table catch from report'!G12</f>
        <v>0</v>
      </c>
      <c r="H12" s="1">
        <f>'Master table catch from report'!H12</f>
        <v>22069</v>
      </c>
      <c r="I12" s="1">
        <f>'Master table catch from report'!I12</f>
        <v>0</v>
      </c>
      <c r="J12" s="1">
        <f>'Master table catch from report'!J12</f>
        <v>3904</v>
      </c>
      <c r="K12" s="1">
        <f>SUM('Master table adjusted WCPO'!$E12:$J12)</f>
        <v>25973</v>
      </c>
      <c r="L12" s="7">
        <f>'Master table catch from report'!L12</f>
        <v>2021</v>
      </c>
      <c r="M12" s="19">
        <f>'Master table catch from report'!M12</f>
        <v>46197</v>
      </c>
      <c r="N12" s="7" t="str">
        <f>'Master table catch from report'!N12</f>
        <v>Spain</v>
      </c>
      <c r="O12" s="7" t="str">
        <f>'Master table catch from report'!O12</f>
        <v>34 (Atlantic, Eastern Central), 47 (Atlantic, Southeast)</v>
      </c>
      <c r="P12" s="7">
        <f>'Master table catch from report'!P12</f>
        <v>25.144960999999999</v>
      </c>
      <c r="Q12" s="7">
        <f>'Master table catch from report'!Q12</f>
        <v>-25.760007000000002</v>
      </c>
    </row>
    <row r="13" spans="1:17" x14ac:dyDescent="0.35">
      <c r="A13" s="4" t="s">
        <v>170</v>
      </c>
      <c r="B13" s="9" t="s">
        <v>171</v>
      </c>
      <c r="C13" s="7" t="str">
        <f>'Master table catch from report'!C13</f>
        <v>Certified</v>
      </c>
      <c r="D13" s="7" t="str">
        <f>'Master table catch from report'!D13</f>
        <v>Surrounding Nets - With purse lines (purse seines): Purse seiner FSC &amp; FAD sets</v>
      </c>
      <c r="E13" s="1">
        <f>'Master table catch from report'!E13</f>
        <v>0</v>
      </c>
      <c r="F13" s="1">
        <f>'Master table catch from report'!F13</f>
        <v>0</v>
      </c>
      <c r="G13" s="1">
        <f>'Master table catch from report'!G13</f>
        <v>0</v>
      </c>
      <c r="H13" s="1">
        <f>'Master table catch from report'!H13</f>
        <v>31538</v>
      </c>
      <c r="I13" s="1">
        <f>'Master table catch from report'!I13</f>
        <v>0</v>
      </c>
      <c r="J13" s="1">
        <f>'Master table catch from report'!J13</f>
        <v>0</v>
      </c>
      <c r="K13" s="1">
        <f>SUM('Master table adjusted WCPO'!$E13:$J13)</f>
        <v>31538</v>
      </c>
      <c r="L13" s="7">
        <f>'Master table catch from report'!L13</f>
        <v>2022</v>
      </c>
      <c r="M13" s="19" t="str">
        <f>'Master table catch from report'!M13</f>
        <v>N/A</v>
      </c>
      <c r="N13" s="7" t="str">
        <f>'Master table catch from report'!N13</f>
        <v>Spain</v>
      </c>
      <c r="O13" s="7" t="str">
        <f>'Master table catch from report'!O13</f>
        <v>51 (Indian Ocean, Western), 57 (Indian Ocean, Eastern)</v>
      </c>
      <c r="P13" s="7">
        <f>'Master table catch from report'!P13</f>
        <v>-4.7548899999999996</v>
      </c>
      <c r="Q13" s="7">
        <f>'Master table catch from report'!Q13</f>
        <v>55.080829999999999</v>
      </c>
    </row>
    <row r="14" spans="1:17" x14ac:dyDescent="0.35">
      <c r="A14" s="4" t="s">
        <v>189</v>
      </c>
      <c r="B14" s="2" t="s">
        <v>190</v>
      </c>
      <c r="C14" s="7" t="str">
        <f>'Master table catch from report'!C14</f>
        <v>Certified</v>
      </c>
      <c r="D14" s="7" t="str">
        <f>'Master table catch from report'!D14</f>
        <v>Surrounding Nets - With purse lines (purse seines): All set types combined</v>
      </c>
      <c r="E14" s="1">
        <f>'Master table catch from report'!E14</f>
        <v>0</v>
      </c>
      <c r="F14" s="1">
        <f>'Master table catch from report'!F14</f>
        <v>0</v>
      </c>
      <c r="G14" s="1">
        <f>'Master table catch from report'!G14</f>
        <v>0</v>
      </c>
      <c r="H14" s="1">
        <f>'Master table catch from report'!H14</f>
        <v>16148</v>
      </c>
      <c r="I14" s="1">
        <f>'Master table catch from report'!I14</f>
        <v>0</v>
      </c>
      <c r="J14" s="1">
        <f>'Master table catch from report'!J14</f>
        <v>12533</v>
      </c>
      <c r="K14" s="1">
        <f>SUM('Master table adjusted WCPO'!$E14:$J14)</f>
        <v>28681</v>
      </c>
      <c r="L14" s="7">
        <f>'Master table catch from report'!L14</f>
        <v>2021</v>
      </c>
      <c r="M14" s="19" t="str">
        <f>'Master table catch from report'!M14</f>
        <v>N/A</v>
      </c>
      <c r="N14" s="7" t="str">
        <f>'Master table catch from report'!N14</f>
        <v>France</v>
      </c>
      <c r="O14" s="7" t="str">
        <f>'Master table catch from report'!O14</f>
        <v>34 (Atlantic, Eastern Central), 47 (Atlantic, Southeast)</v>
      </c>
      <c r="P14" s="7">
        <f>'Master table catch from report'!P14</f>
        <v>2.9466999999999999</v>
      </c>
      <c r="Q14" s="7">
        <f>'Master table catch from report'!Q14</f>
        <v>2.7364809999999999</v>
      </c>
    </row>
    <row r="15" spans="1:17" x14ac:dyDescent="0.35">
      <c r="A15" s="4" t="s">
        <v>192</v>
      </c>
      <c r="B15" s="2" t="s">
        <v>225</v>
      </c>
      <c r="C15" s="7" t="str">
        <f>'Master table catch from report'!C15</f>
        <v>Certified</v>
      </c>
      <c r="D15" s="7" t="str">
        <f>'Master table catch from report'!D15</f>
        <v>Surrounding Nets - With purse lines (purse seines): Purse seine (dolphin-associated, unassociated and FADs)</v>
      </c>
      <c r="E15" s="1">
        <f>'Master table catch from report'!E15</f>
        <v>0</v>
      </c>
      <c r="F15" s="1">
        <f>'Master table catch from report'!F15</f>
        <v>0</v>
      </c>
      <c r="G15" s="1">
        <f>'Master table catch from report'!G15</f>
        <v>0</v>
      </c>
      <c r="H15" s="1">
        <f>'Master table catch from report'!H15</f>
        <v>3004</v>
      </c>
      <c r="I15" s="1">
        <f>'Master table catch from report'!I15</f>
        <v>0</v>
      </c>
      <c r="J15" s="1">
        <f>'Master table catch from report'!J15</f>
        <v>4497</v>
      </c>
      <c r="K15" s="1">
        <f>SUM('Master table adjusted WCPO'!$E15:$J15)</f>
        <v>7501</v>
      </c>
      <c r="L15" s="7">
        <f>'Master table catch from report'!L15</f>
        <v>2021</v>
      </c>
      <c r="M15" s="19" t="str">
        <f>'Master table catch from report'!M15</f>
        <v>N/A</v>
      </c>
      <c r="N15" s="7" t="str">
        <f>'Master table catch from report'!N15</f>
        <v>Panama</v>
      </c>
      <c r="O15" s="7" t="str">
        <f>'Master table catch from report'!O15</f>
        <v>77 (Pacific, Eastern Central), 87 (Pacific, Southeast)</v>
      </c>
      <c r="P15" s="7">
        <f>'Master table catch from report'!P15</f>
        <v>-0.84464086000000005</v>
      </c>
      <c r="Q15" s="7">
        <f>'Master table catch from report'!Q15</f>
        <v>-86.189325999999994</v>
      </c>
    </row>
    <row r="16" spans="1:17" x14ac:dyDescent="0.35">
      <c r="A16" s="3" t="s">
        <v>109</v>
      </c>
      <c r="B16" s="8" t="s">
        <v>29</v>
      </c>
      <c r="C16" s="7" t="str">
        <f>'Master table catch from report'!C16</f>
        <v>Certified</v>
      </c>
      <c r="D16" s="7" t="str">
        <f>'Master table catch from report'!D16</f>
        <v>Hooks And Lines - Longlines</v>
      </c>
      <c r="E16" s="1">
        <f>'Master table catch from report'!E16</f>
        <v>629</v>
      </c>
      <c r="F16" s="1">
        <f>'Master table catch from report'!F16</f>
        <v>0</v>
      </c>
      <c r="G16" s="1">
        <f>'Master table catch from report'!G16</f>
        <v>221</v>
      </c>
      <c r="H16" s="1">
        <f>'Master table catch from report'!H16</f>
        <v>0</v>
      </c>
      <c r="I16" s="1">
        <f>'Master table catch from report'!I16</f>
        <v>0</v>
      </c>
      <c r="J16" s="1">
        <f>'Master table catch from report'!J16</f>
        <v>1537</v>
      </c>
      <c r="K16" s="1">
        <f>SUM('Master table adjusted WCPO'!$E16:$J16)</f>
        <v>2387</v>
      </c>
      <c r="L16" s="7">
        <f>'Master table catch from report'!L16</f>
        <v>2023</v>
      </c>
      <c r="M16" s="19">
        <f>'Master table catch from report'!M16</f>
        <v>46079</v>
      </c>
      <c r="N16" s="7" t="str">
        <f>'Master table catch from report'!N16</f>
        <v>Australia</v>
      </c>
      <c r="O16" s="7" t="str">
        <f>'Master table catch from report'!O16</f>
        <v>81 (Pacific, Southwest)</v>
      </c>
      <c r="P16" s="7">
        <f>'Master table catch from report'!P16</f>
        <v>-26.294070999999999</v>
      </c>
      <c r="Q16" s="7">
        <f>'Master table catch from report'!Q16</f>
        <v>154.90173300000001</v>
      </c>
    </row>
    <row r="17" spans="1:17" x14ac:dyDescent="0.35">
      <c r="A17" s="4" t="s">
        <v>236</v>
      </c>
      <c r="B17" s="2" t="s">
        <v>235</v>
      </c>
      <c r="C17" s="7" t="str">
        <f>'Master table catch from report'!C17</f>
        <v>In Assessment</v>
      </c>
      <c r="D17" s="7" t="str">
        <f>'Master table catch from report'!D17</f>
        <v>Surrounding Nets - With purse lines (purse seines)</v>
      </c>
      <c r="E17" s="1">
        <f>'Master table catch from report'!E17</f>
        <v>0</v>
      </c>
      <c r="F17" s="1">
        <f>'Master table catch from report'!F17</f>
        <v>0</v>
      </c>
      <c r="G17" s="1">
        <f>'Master table catch from report'!G17</f>
        <v>0</v>
      </c>
      <c r="H17" s="1">
        <f>'Master table catch from report'!H17</f>
        <v>0</v>
      </c>
      <c r="I17" s="1">
        <f>'Master table catch from report'!I17</f>
        <v>0</v>
      </c>
      <c r="J17" s="1">
        <f>'Master table catch from report'!J17</f>
        <v>0</v>
      </c>
      <c r="K17" s="1">
        <f>SUM('Master table adjusted WCPO'!$E17:$J17)</f>
        <v>0</v>
      </c>
      <c r="L17" s="7">
        <f>'Master table catch from report'!L17</f>
        <v>2022</v>
      </c>
      <c r="M17" s="19" t="str">
        <f>'Master table catch from report'!M17</f>
        <v>N/A</v>
      </c>
      <c r="N17" s="7" t="str">
        <f>'Master table catch from report'!N17</f>
        <v>Australia</v>
      </c>
      <c r="O17" s="7" t="str">
        <f>'Master table catch from report'!O17</f>
        <v>57 (Indian Ocean, Eastern)</v>
      </c>
      <c r="P17" s="7">
        <f>'Master table catch from report'!P17</f>
        <v>-36.263852</v>
      </c>
      <c r="Q17" s="7">
        <f>'Master table catch from report'!Q17</f>
        <v>155.56544700000001</v>
      </c>
    </row>
    <row r="18" spans="1:17" x14ac:dyDescent="0.35">
      <c r="A18" s="17" t="s">
        <v>241</v>
      </c>
      <c r="B18" s="18" t="s">
        <v>240</v>
      </c>
      <c r="C18" s="7" t="str">
        <f>'Master table catch from report'!C18</f>
        <v>In Assessment</v>
      </c>
      <c r="D18" s="7" t="str">
        <f>'Master table catch from report'!D18</f>
        <v>Hooks And Lines - Handlines and pole-lines (hand-operated): pole and line and trolling</v>
      </c>
      <c r="E18" s="1">
        <f>'Master table catch from report'!E18</f>
        <v>0</v>
      </c>
      <c r="F18" s="1">
        <f>'Master table catch from report'!F18</f>
        <v>0</v>
      </c>
      <c r="G18" s="1">
        <f>'Master table catch from report'!G18</f>
        <v>0</v>
      </c>
      <c r="H18" s="1">
        <f>'Master table catch from report'!H18</f>
        <v>0</v>
      </c>
      <c r="I18" s="1">
        <f>'Master table catch from report'!I18</f>
        <v>6936</v>
      </c>
      <c r="J18" s="1">
        <f>'Master table catch from report'!J18</f>
        <v>0</v>
      </c>
      <c r="K18" s="1">
        <f>SUM('Master table adjusted WCPO'!$E18:$J18)</f>
        <v>6936</v>
      </c>
      <c r="L18" s="7">
        <f>'Master table catch from report'!L18</f>
        <v>2023</v>
      </c>
      <c r="M18" s="19" t="str">
        <f>'Master table catch from report'!M18</f>
        <v>N/A</v>
      </c>
      <c r="N18" s="7" t="str">
        <f>'Master table catch from report'!N18</f>
        <v>Australia</v>
      </c>
      <c r="O18" s="7" t="str">
        <f>'Master table catch from report'!O18</f>
        <v>51 (Indian Ocean, Western), 57 (Indian Ocean, Eastern)</v>
      </c>
      <c r="P18" s="7">
        <f>'Master table catch from report'!P18</f>
        <v>-37.299999999999997</v>
      </c>
      <c r="Q18" s="7">
        <f>'Master table catch from report'!Q18</f>
        <v>149.58000000000001</v>
      </c>
    </row>
    <row r="19" spans="1:17" x14ac:dyDescent="0.35">
      <c r="A19" s="3" t="s">
        <v>110</v>
      </c>
      <c r="B19" s="8" t="s">
        <v>31</v>
      </c>
      <c r="C19" s="7" t="str">
        <f>'Master table catch from report'!C19</f>
        <v>Certified</v>
      </c>
      <c r="D19" s="7" t="str">
        <f>'Master table catch from report'!D19</f>
        <v>Hooks And Lines - Trolling lines</v>
      </c>
      <c r="E19" s="1">
        <f>'Master table catch from report'!E19</f>
        <v>1143</v>
      </c>
      <c r="F19" s="1">
        <f>'Master table catch from report'!F19</f>
        <v>0</v>
      </c>
      <c r="G19" s="1">
        <f>'Master table catch from report'!G19</f>
        <v>0</v>
      </c>
      <c r="H19" s="1">
        <f>'Master table catch from report'!H19</f>
        <v>0</v>
      </c>
      <c r="I19" s="1">
        <f>'Master table catch from report'!I19</f>
        <v>0</v>
      </c>
      <c r="J19" s="1">
        <f>'Master table catch from report'!J19</f>
        <v>0</v>
      </c>
      <c r="K19" s="1">
        <f>SUM('Master table adjusted WCPO'!$E19:$J19)</f>
        <v>1143</v>
      </c>
      <c r="L19" s="7">
        <f>'Master table catch from report'!L19</f>
        <v>2023</v>
      </c>
      <c r="M19" s="19">
        <f>'Master table catch from report'!M19</f>
        <v>45998</v>
      </c>
      <c r="N19" s="7" t="str">
        <f>'Master table catch from report'!N19</f>
        <v>Canada</v>
      </c>
      <c r="O19" s="7" t="str">
        <f>'Master table catch from report'!O19</f>
        <v>67 (Pacific, Northeast)</v>
      </c>
      <c r="P19" s="7">
        <f>'Master table catch from report'!P19</f>
        <v>50</v>
      </c>
      <c r="Q19" s="7">
        <f>'Master table catch from report'!Q19</f>
        <v>-141.50390630000001</v>
      </c>
    </row>
    <row r="20" spans="1:17" x14ac:dyDescent="0.35">
      <c r="A20" s="4" t="s">
        <v>220</v>
      </c>
      <c r="B20" s="2" t="s">
        <v>219</v>
      </c>
      <c r="C20" s="7" t="str">
        <f>'Master table catch from report'!C20</f>
        <v>Certified</v>
      </c>
      <c r="D20" s="7" t="str">
        <f>'Master table catch from report'!D20</f>
        <v>Surrounding Nets - With purse lines (purse seines): Free school and FADs</v>
      </c>
      <c r="E20" s="1">
        <f>'Master table catch from report'!E20</f>
        <v>0</v>
      </c>
      <c r="F20" s="1">
        <f>'Master table catch from report'!F20</f>
        <v>0</v>
      </c>
      <c r="G20" s="1">
        <f>'Master table catch from report'!G20</f>
        <v>0</v>
      </c>
      <c r="H20" s="1">
        <f>'Master table catch from report'!H20</f>
        <v>24180</v>
      </c>
      <c r="I20" s="1">
        <f>'Master table catch from report'!I20</f>
        <v>0</v>
      </c>
      <c r="J20" s="1">
        <f>'Master table catch from report'!J20</f>
        <v>6272</v>
      </c>
      <c r="K20" s="1">
        <f>SUM('Master table adjusted WCPO'!$E20:$J20)</f>
        <v>30452</v>
      </c>
      <c r="L20" s="7">
        <f>'Master table catch from report'!L20</f>
        <v>2021</v>
      </c>
      <c r="M20" s="19">
        <f>'Master table catch from report'!M20</f>
        <v>47435</v>
      </c>
      <c r="N20" s="7" t="str">
        <f>'Master table catch from report'!N20</f>
        <v>Senegal</v>
      </c>
      <c r="O20" s="7" t="str">
        <f>'Master table catch from report'!O20</f>
        <v>34 (Atlantic, Eastern Central)</v>
      </c>
      <c r="P20" s="7">
        <f>'Master table catch from report'!P20</f>
        <v>-18.918167</v>
      </c>
      <c r="Q20" s="7">
        <f>'Master table catch from report'!Q20</f>
        <v>14.439069</v>
      </c>
    </row>
    <row r="21" spans="1:17" x14ac:dyDescent="0.35">
      <c r="A21" s="4" t="s">
        <v>212</v>
      </c>
      <c r="B21" s="2" t="s">
        <v>211</v>
      </c>
      <c r="C21" s="7" t="str">
        <f>'Master table catch from report'!C21</f>
        <v>Certified</v>
      </c>
      <c r="D21" s="7" t="str">
        <f>'Master table catch from report'!D21</f>
        <v>Hooks And Lines - Longlines: Pelagic longline</v>
      </c>
      <c r="E21" s="1">
        <f>'Master table catch from report'!E21</f>
        <v>3547</v>
      </c>
      <c r="F21" s="1">
        <f>'Master table catch from report'!F21</f>
        <v>0</v>
      </c>
      <c r="G21" s="1">
        <f>'Master table catch from report'!G21</f>
        <v>0</v>
      </c>
      <c r="H21" s="1">
        <f>'Master table catch from report'!H21</f>
        <v>0</v>
      </c>
      <c r="I21" s="1">
        <f>'Master table catch from report'!I21</f>
        <v>0</v>
      </c>
      <c r="J21" s="1">
        <f>'Master table catch from report'!J21</f>
        <v>0</v>
      </c>
      <c r="K21" s="1">
        <f>SUM('Master table adjusted WCPO'!$E21:$J21)</f>
        <v>3547</v>
      </c>
      <c r="L21" s="7">
        <f>'Master table catch from report'!L21</f>
        <v>2022</v>
      </c>
      <c r="M21" s="19">
        <f>'Master table catch from report'!M21</f>
        <v>47343</v>
      </c>
      <c r="N21" s="7" t="str">
        <f>'Master table catch from report'!N21</f>
        <v>Taiwan</v>
      </c>
      <c r="O21" s="7" t="str">
        <f>'Master table catch from report'!O21</f>
        <v>21 (Atlantic, Northwest), 27 (Atlantic, Northeast), 31 (Atlantic, Western Central), 34 (Atlantic, Eastern Central), 41 (Atlantic, Southwest), 47 (Atlantic, Southeast)</v>
      </c>
      <c r="P21" s="7">
        <f>'Master table catch from report'!P21</f>
        <v>42.636254958000002</v>
      </c>
      <c r="Q21" s="7">
        <f>'Master table catch from report'!Q21</f>
        <v>-27.82184531</v>
      </c>
    </row>
    <row r="22" spans="1:17" x14ac:dyDescent="0.35">
      <c r="A22" s="17" t="s">
        <v>238</v>
      </c>
      <c r="B22" s="18" t="s">
        <v>239</v>
      </c>
      <c r="C22" s="7" t="str">
        <f>'Master table catch from report'!C22</f>
        <v>Certified</v>
      </c>
      <c r="D22" s="7" t="str">
        <f>'Master table catch from report'!D22</f>
        <v>Hooks And Lines - Longlines: Pelagic longline</v>
      </c>
      <c r="E22" s="1">
        <f>'Master table catch from report'!E22</f>
        <v>2600</v>
      </c>
      <c r="F22" s="1">
        <f>'Master table catch from report'!F22</f>
        <v>0</v>
      </c>
      <c r="G22" s="1">
        <f>'Master table catch from report'!G22</f>
        <v>0</v>
      </c>
      <c r="H22" s="1">
        <f>'Master table catch from report'!H22</f>
        <v>0</v>
      </c>
      <c r="I22" s="1">
        <f>'Master table catch from report'!I22</f>
        <v>0</v>
      </c>
      <c r="J22" s="1">
        <f>'Master table catch from report'!J22</f>
        <v>0</v>
      </c>
      <c r="K22" s="1">
        <f>SUM('Master table adjusted WCPO'!$E22:$J22)</f>
        <v>2600</v>
      </c>
      <c r="L22" s="7">
        <f>'Master table catch from report'!L22</f>
        <v>2023</v>
      </c>
      <c r="M22" s="19" t="str">
        <f>'Master table catch from report'!M22</f>
        <v>N/A</v>
      </c>
      <c r="N22" s="7" t="str">
        <f>'Master table catch from report'!N22</f>
        <v>Taiwan</v>
      </c>
      <c r="O22" s="7" t="str">
        <f>'Master table catch from report'!O22</f>
        <v>51 (Indian Ocean, Western), 57 (Indian Ocean, Eastern)</v>
      </c>
      <c r="P22" s="7">
        <f>'Master table catch from report'!P22</f>
        <v>-21.447136</v>
      </c>
      <c r="Q22" s="7">
        <f>'Master table catch from report'!Q22</f>
        <v>79.272293790000006</v>
      </c>
    </row>
    <row r="23" spans="1:17" x14ac:dyDescent="0.35">
      <c r="A23" s="3" t="s">
        <v>111</v>
      </c>
      <c r="B23" s="8" t="s">
        <v>34</v>
      </c>
      <c r="C23" s="7" t="str">
        <f>'Master table catch from report'!C23</f>
        <v>Certified</v>
      </c>
      <c r="D23" s="7" t="str">
        <f>'Master table catch from report'!D23</f>
        <v>Surrounding Nets - With purse lines (purse seines)</v>
      </c>
      <c r="E23" s="1">
        <f>'Master table catch from report'!E23</f>
        <v>0</v>
      </c>
      <c r="F23" s="1">
        <f>'Master table catch from report'!F23</f>
        <v>0</v>
      </c>
      <c r="G23" s="1">
        <f>'Master table catch from report'!G23</f>
        <v>0</v>
      </c>
      <c r="H23" s="1">
        <f>'Master table catch from report'!H23</f>
        <v>38406</v>
      </c>
      <c r="I23" s="1">
        <f>'Master table catch from report'!I23</f>
        <v>0</v>
      </c>
      <c r="J23" s="1">
        <f>'Master table catch from report'!J23</f>
        <v>0</v>
      </c>
      <c r="K23" s="1">
        <f>SUM('Master table adjusted WCPO'!$E23:$J23)</f>
        <v>38406</v>
      </c>
      <c r="L23" s="7">
        <f>'Master table catch from report'!L23</f>
        <v>2023</v>
      </c>
      <c r="M23" s="19">
        <f>'Master table catch from report'!M23</f>
        <v>46174</v>
      </c>
      <c r="N23" s="7" t="str">
        <f>'Master table catch from report'!N23</f>
        <v>France</v>
      </c>
      <c r="O23" s="7" t="str">
        <f>'Master table catch from report'!O23</f>
        <v>51 (Indian Ocean, Western), 57 (Indian Ocean, Eastern)</v>
      </c>
      <c r="P23" s="7">
        <f>'Master table catch from report'!P23</f>
        <v>-10</v>
      </c>
      <c r="Q23" s="7">
        <f>'Master table catch from report'!Q23</f>
        <v>70</v>
      </c>
    </row>
    <row r="24" spans="1:17" x14ac:dyDescent="0.35">
      <c r="A24" s="4" t="s">
        <v>206</v>
      </c>
      <c r="B24" s="2" t="s">
        <v>205</v>
      </c>
      <c r="C24" s="7" t="str">
        <f>'Master table catch from report'!C24</f>
        <v>Certified</v>
      </c>
      <c r="D24" s="7" t="str">
        <f>'Master table catch from report'!D24</f>
        <v>Hooks And Lines - Longlines: Pelagic longlines</v>
      </c>
      <c r="E24" s="1">
        <f>'Master table catch from report'!E24</f>
        <v>160.33600000000001</v>
      </c>
      <c r="F24" s="1">
        <f>'Master table catch from report'!F24</f>
        <v>0</v>
      </c>
      <c r="G24" s="1">
        <f>'Master table catch from report'!G24</f>
        <v>1620.2150000000001</v>
      </c>
      <c r="H24" s="1">
        <f>'Master table catch from report'!H24</f>
        <v>0</v>
      </c>
      <c r="I24" s="1">
        <f>'Master table catch from report'!I24</f>
        <v>0</v>
      </c>
      <c r="J24" s="1">
        <f>'Master table catch from report'!J24</f>
        <v>96589.604999999996</v>
      </c>
      <c r="K24" s="1">
        <f>SUM('Master table adjusted WCPO'!$E24:$J24)</f>
        <v>98370.156000000003</v>
      </c>
      <c r="L24" s="7">
        <f>'Master table catch from report'!L24</f>
        <v>2021</v>
      </c>
      <c r="M24" s="19">
        <f>'Master table catch from report'!M24</f>
        <v>47369</v>
      </c>
      <c r="N24" s="7" t="str">
        <f>'Master table catch from report'!N24</f>
        <v>Korea, Republic Of</v>
      </c>
      <c r="O24" s="7" t="str">
        <f>'Master table catch from report'!O24</f>
        <v>77 (Pacific, Eastern Central), 87 (Pacific, Southeast)</v>
      </c>
      <c r="P24" s="7">
        <f>'Master table catch from report'!P24</f>
        <v>5</v>
      </c>
      <c r="Q24" s="7">
        <f>'Master table catch from report'!Q24</f>
        <v>-120</v>
      </c>
    </row>
    <row r="25" spans="1:17" x14ac:dyDescent="0.35">
      <c r="A25" s="4" t="s">
        <v>260</v>
      </c>
      <c r="B25" s="2" t="s">
        <v>261</v>
      </c>
      <c r="C25" s="7" t="str">
        <f>'Master table catch from report'!C25</f>
        <v>In Assessment</v>
      </c>
      <c r="D25" s="7" t="str">
        <f>'Master table catch from report'!D25</f>
        <v>Hooks And Lines - Handlines and pole-lines (hand-operated)</v>
      </c>
      <c r="E25" s="1">
        <f>'Master table catch from report'!E25</f>
        <v>0</v>
      </c>
      <c r="F25" s="1">
        <f>'Master table catch from report'!F25</f>
        <v>0</v>
      </c>
      <c r="G25" s="1">
        <f>'Master table catch from report'!G25</f>
        <v>176.3</v>
      </c>
      <c r="H25" s="1">
        <f>'Master table catch from report'!H25</f>
        <v>1654.4</v>
      </c>
      <c r="I25" s="1">
        <f>'Master table catch from report'!I25</f>
        <v>0</v>
      </c>
      <c r="J25" s="1">
        <f>'Master table catch from report'!J25</f>
        <v>338.5</v>
      </c>
      <c r="K25" s="1">
        <f>SUM('Master table adjusted WCPO'!$E25:$J25)</f>
        <v>2169.1999999999998</v>
      </c>
      <c r="L25" s="7">
        <f>'Master table catch from report'!L25</f>
        <v>2023</v>
      </c>
      <c r="M25" s="19" t="str">
        <f>'Master table catch from report'!M25</f>
        <v>N/A</v>
      </c>
      <c r="N25" s="7" t="str">
        <f>'Master table catch from report'!N25</f>
        <v>Spain</v>
      </c>
      <c r="O25" s="7" t="str">
        <f>'Master table catch from report'!O25</f>
        <v>34 (Atlantic, Eastern Central)</v>
      </c>
      <c r="P25" s="7">
        <f>'Master table catch from report'!P25</f>
        <v>0</v>
      </c>
      <c r="Q25" s="7">
        <f>'Master table catch from report'!Q25</f>
        <v>0</v>
      </c>
    </row>
    <row r="26" spans="1:17" x14ac:dyDescent="0.35">
      <c r="A26" s="4" t="s">
        <v>162</v>
      </c>
      <c r="B26" s="2" t="s">
        <v>163</v>
      </c>
      <c r="C26" s="7" t="str">
        <f>'Master table catch from report'!C26</f>
        <v>Certified</v>
      </c>
      <c r="D26" s="7" t="str">
        <f>'Master table catch from report'!D26</f>
        <v>Hooks And Lines - Longlines</v>
      </c>
      <c r="E26" s="1">
        <f>'Master table catch from report'!E26</f>
        <v>178</v>
      </c>
      <c r="F26" s="1">
        <f>'Master table catch from report'!F26</f>
        <v>0</v>
      </c>
      <c r="G26" s="1">
        <f>'Master table catch from report'!G26</f>
        <v>1998</v>
      </c>
      <c r="H26" s="1">
        <f>'Master table catch from report'!H26</f>
        <v>0</v>
      </c>
      <c r="I26" s="1">
        <f>'Master table catch from report'!I26</f>
        <v>0</v>
      </c>
      <c r="J26" s="1">
        <f>'Master table catch from report'!J26</f>
        <v>1864</v>
      </c>
      <c r="K26" s="1">
        <f>SUM('Master table adjusted WCPO'!$E26:$J26)</f>
        <v>4040</v>
      </c>
      <c r="L26" s="7">
        <f>'Master table catch from report'!L26</f>
        <v>2020</v>
      </c>
      <c r="M26" s="19">
        <f>'Master table catch from report'!M26</f>
        <v>46932</v>
      </c>
      <c r="N26" s="7" t="str">
        <f>'Master table catch from report'!N26</f>
        <v>Korea, Republic Of, United Kingdom</v>
      </c>
      <c r="O26" s="7" t="str">
        <f>'Master table catch from report'!O26</f>
        <v>61 (Pacific, Northwest), 71 (Pacific, Western Central), 77 (Pacific, Eastern Central), 81 (Pacific, Southwest)</v>
      </c>
      <c r="P26" s="7">
        <f>'Master table catch from report'!P26</f>
        <v>19</v>
      </c>
      <c r="Q26" s="7">
        <f>'Master table catch from report'!Q26</f>
        <v>178</v>
      </c>
    </row>
    <row r="27" spans="1:17" x14ac:dyDescent="0.35">
      <c r="A27" s="17" t="s">
        <v>162</v>
      </c>
      <c r="B27" s="18" t="s">
        <v>163</v>
      </c>
      <c r="C27" s="7" t="str">
        <f>'Master table catch from report'!C27</f>
        <v>In Assessment</v>
      </c>
      <c r="D27" s="7" t="str">
        <f>'Master table catch from report'!D27</f>
        <v>Hooks And Lines - Longlines: Pelagic longline</v>
      </c>
      <c r="E27" s="1">
        <f>'Master table catch from report'!E27</f>
        <v>0</v>
      </c>
      <c r="F27" s="1">
        <f>'Master table catch from report'!F27</f>
        <v>0</v>
      </c>
      <c r="G27" s="1">
        <f>'Master table catch from report'!G27</f>
        <v>1283.2429999999999</v>
      </c>
      <c r="H27" s="1">
        <f>'Master table catch from report'!H27</f>
        <v>0</v>
      </c>
      <c r="I27" s="1">
        <f>'Master table catch from report'!I27</f>
        <v>0</v>
      </c>
      <c r="J27" s="1">
        <f>'Master table catch from report'!J27</f>
        <v>195.16399999999999</v>
      </c>
      <c r="K27" s="1">
        <f>SUM('Master table adjusted WCPO'!$E27:$J27)</f>
        <v>1478.4069999999999</v>
      </c>
      <c r="L27" s="7">
        <f>'Master table catch from report'!L27</f>
        <v>2023</v>
      </c>
      <c r="M27" s="19">
        <f>'Master table catch from report'!M27</f>
        <v>46932</v>
      </c>
      <c r="N27" s="7" t="str">
        <f>'Master table catch from report'!N27</f>
        <v>Korea, Republic Of, United Kingdom</v>
      </c>
      <c r="O27" s="7" t="str">
        <f>'Master table catch from report'!O27</f>
        <v>61 (Pacific, Northwest), 71 (Pacific, Western Central), 77 (Pacific, Eastern Central), 81 (Pacific, Southwest)</v>
      </c>
      <c r="P27" s="7">
        <f>'Master table catch from report'!P27</f>
        <v>19</v>
      </c>
      <c r="Q27" s="7">
        <f>'Master table catch from report'!Q27</f>
        <v>178</v>
      </c>
    </row>
    <row r="28" spans="1:17" x14ac:dyDescent="0.35">
      <c r="A28" s="15" t="s">
        <v>127</v>
      </c>
      <c r="B28" s="16" t="s">
        <v>249</v>
      </c>
      <c r="C28" s="7" t="str">
        <f>'Master table catch from report'!C28</f>
        <v>Certified</v>
      </c>
      <c r="D28" s="7" t="str">
        <f>'Master table catch from report'!D28</f>
        <v>Hooks And Lines - Longlines</v>
      </c>
      <c r="E28" s="1">
        <f>'Master table catch from report'!E28</f>
        <v>62</v>
      </c>
      <c r="F28" s="1">
        <f>'Master table catch from report'!F28</f>
        <v>0</v>
      </c>
      <c r="G28" s="1">
        <f>'Master table catch from report'!G28</f>
        <v>1489.6</v>
      </c>
      <c r="H28" s="1">
        <f>'Master table catch from report'!H28</f>
        <v>0</v>
      </c>
      <c r="I28" s="1">
        <f>'Master table catch from report'!I28</f>
        <v>0</v>
      </c>
      <c r="J28" s="1">
        <f>'Master table catch from report'!J28</f>
        <v>1011.6</v>
      </c>
      <c r="K28" s="1">
        <f>SUM('Master table adjusted WCPO'!$E28:$J28)</f>
        <v>2563.1999999999998</v>
      </c>
      <c r="L28" s="7">
        <f>'Master table catch from report'!L28</f>
        <v>2023</v>
      </c>
      <c r="M28" s="19">
        <f>'Master table catch from report'!M28</f>
        <v>46016</v>
      </c>
      <c r="N28" s="7" t="str">
        <f>'Master table catch from report'!N28</f>
        <v>Republic of Korea</v>
      </c>
      <c r="O28" s="7" t="str">
        <f>'Master table catch from report'!O28</f>
        <v>71 (Pacific, Western Central), 77 (Pacific, Eastern Central), 81 (Pacific, Southwest)</v>
      </c>
      <c r="P28" s="7">
        <f>'Master table catch from report'!P28</f>
        <v>-7.34</v>
      </c>
      <c r="Q28" s="7">
        <f>'Master table catch from report'!Q28</f>
        <v>177.7</v>
      </c>
    </row>
    <row r="29" spans="1:17" x14ac:dyDescent="0.35">
      <c r="A29" s="15" t="s">
        <v>135</v>
      </c>
      <c r="B29" s="16" t="s">
        <v>248</v>
      </c>
      <c r="C29" s="7" t="str">
        <f>'Master table catch from report'!C29</f>
        <v>Certified</v>
      </c>
      <c r="D29" s="7" t="str">
        <f>'Master table catch from report'!D29</f>
        <v>Surrounding Nets - With purse lines (purse seines) - one boat operated purse seines</v>
      </c>
      <c r="E29" s="1">
        <f>'Master table catch from report'!E29</f>
        <v>82</v>
      </c>
      <c r="F29" s="1">
        <f>'Master table catch from report'!F29</f>
        <v>0</v>
      </c>
      <c r="G29" s="1">
        <f>'Master table catch from report'!G29</f>
        <v>1554</v>
      </c>
      <c r="H29" s="1">
        <f>'Master table catch from report'!H29</f>
        <v>72020</v>
      </c>
      <c r="I29" s="1">
        <f>'Master table catch from report'!I29</f>
        <v>0</v>
      </c>
      <c r="J29" s="1">
        <f>'Master table catch from report'!J29</f>
        <v>0</v>
      </c>
      <c r="K29" s="1">
        <f>SUM('Master table adjusted WCPO'!$E29:$J29)</f>
        <v>73656</v>
      </c>
      <c r="L29" s="7">
        <f>'Master table catch from report'!L29</f>
        <v>2023</v>
      </c>
      <c r="M29" s="19">
        <f>'Master table catch from report'!M29</f>
        <v>45764</v>
      </c>
      <c r="N29" s="7" t="str">
        <f>'Master table catch from report'!N29</f>
        <v>Republic of Korea</v>
      </c>
      <c r="O29" s="7" t="str">
        <f>'Master table catch from report'!O29</f>
        <v>71 (Pacific, Western Central), 77 (Pacific, Eastern Central)</v>
      </c>
      <c r="P29" s="7">
        <f>'Master table catch from report'!P29</f>
        <v>-10</v>
      </c>
      <c r="Q29" s="7">
        <f>'Master table catch from report'!Q29</f>
        <v>160</v>
      </c>
    </row>
    <row r="30" spans="1:17" x14ac:dyDescent="0.35">
      <c r="A30" s="15" t="s">
        <v>135</v>
      </c>
      <c r="B30" s="16" t="s">
        <v>248</v>
      </c>
      <c r="C30" s="7" t="str">
        <f>'Master table catch from report'!C30</f>
        <v>In Assessment</v>
      </c>
      <c r="D30" s="7" t="str">
        <f>'Master table catch from report'!D30</f>
        <v>Surrounding Nets - With purse lines (purse seines) - one boat operated purse seines</v>
      </c>
      <c r="E30" s="1">
        <f>'Master table catch from report'!E30</f>
        <v>0</v>
      </c>
      <c r="F30" s="1">
        <f>'Master table catch from report'!F30</f>
        <v>0</v>
      </c>
      <c r="G30" s="1">
        <f>'Master table catch from report'!G30</f>
        <v>0</v>
      </c>
      <c r="H30" s="1">
        <f>'Master table catch from report'!H30</f>
        <v>9638</v>
      </c>
      <c r="I30" s="1">
        <f>'Master table catch from report'!I30</f>
        <v>0</v>
      </c>
      <c r="J30" s="1">
        <f>'Master table catch from report'!J30</f>
        <v>1787</v>
      </c>
      <c r="K30" s="1">
        <f>SUM('Master table adjusted WCPO'!$E30:$J30)</f>
        <v>11425</v>
      </c>
      <c r="L30" s="7">
        <f>'Master table catch from report'!L30</f>
        <v>2023</v>
      </c>
      <c r="M30" s="19">
        <f>'Master table catch from report'!M30</f>
        <v>45764</v>
      </c>
      <c r="N30" s="7" t="str">
        <f>'Master table catch from report'!N30</f>
        <v>Republic of Korea</v>
      </c>
      <c r="O30" s="7" t="str">
        <f>'Master table catch from report'!O30</f>
        <v>71 (Pacific, Western Central), 77 (Pacific, Eastern Central)</v>
      </c>
      <c r="P30" s="7">
        <f>'Master table catch from report'!P30</f>
        <v>-10</v>
      </c>
      <c r="Q30" s="7">
        <f>'Master table catch from report'!Q30</f>
        <v>160</v>
      </c>
    </row>
    <row r="31" spans="1:17" x14ac:dyDescent="0.35">
      <c r="A31" s="4" t="s">
        <v>217</v>
      </c>
      <c r="B31" s="2" t="s">
        <v>216</v>
      </c>
      <c r="C31" s="7" t="str">
        <f>'Master table catch from report'!C31</f>
        <v>In Assessment</v>
      </c>
      <c r="D31" s="7" t="str">
        <f>'Master table catch from report'!D31</f>
        <v>Surrounding Nets - With purse lines (purse seines): Purse seine</v>
      </c>
      <c r="E31" s="1">
        <f>'Master table catch from report'!E31</f>
        <v>0</v>
      </c>
      <c r="F31" s="1">
        <f>'Master table catch from report'!F31</f>
        <v>0</v>
      </c>
      <c r="G31" s="1">
        <f>'Master table catch from report'!G31</f>
        <v>0</v>
      </c>
      <c r="H31" s="1">
        <f>'Master table catch from report'!H31</f>
        <v>9638</v>
      </c>
      <c r="I31" s="1">
        <f>'Master table catch from report'!I31</f>
        <v>0</v>
      </c>
      <c r="J31" s="1">
        <f>'Master table catch from report'!J31</f>
        <v>1787</v>
      </c>
      <c r="K31" s="1">
        <f>SUM('Master table adjusted WCPO'!$E31:$J31)</f>
        <v>11425</v>
      </c>
      <c r="L31" s="7">
        <f>'Master table catch from report'!L31</f>
        <v>2023</v>
      </c>
      <c r="M31" s="19">
        <f>'Master table catch from report'!M31</f>
        <v>45764</v>
      </c>
      <c r="N31" s="7" t="str">
        <f>'Master table catch from report'!N31</f>
        <v>Korea, Republic Of</v>
      </c>
      <c r="O31" s="7" t="str">
        <f>'Master table catch from report'!O31</f>
        <v>51 (Indian Ocean, Western), 57 (Indian Ocean, Eastern)</v>
      </c>
      <c r="P31" s="7">
        <f>'Master table catch from report'!P31</f>
        <v>4.6795999999999998</v>
      </c>
      <c r="Q31" s="7">
        <f>'Master table catch from report'!Q31</f>
        <v>55.491999999999997</v>
      </c>
    </row>
    <row r="32" spans="1:17" x14ac:dyDescent="0.35">
      <c r="A32" s="3" t="s">
        <v>112</v>
      </c>
      <c r="B32" s="8" t="s">
        <v>36</v>
      </c>
      <c r="C32" s="7" t="str">
        <f>'Master table catch from report'!C32</f>
        <v>Certified</v>
      </c>
      <c r="D32" s="7" t="str">
        <f>'Master table catch from report'!D32</f>
        <v>Surrounding Nets - With purse lines (purse seines)</v>
      </c>
      <c r="E32" s="1">
        <f>'Master table catch from report'!E32</f>
        <v>0</v>
      </c>
      <c r="F32" s="1">
        <f>'Master table catch from report'!F32</f>
        <v>0</v>
      </c>
      <c r="G32" s="1">
        <f>'Master table catch from report'!G32</f>
        <v>0</v>
      </c>
      <c r="H32" s="1">
        <f>'Master table catch from report'!H32</f>
        <v>80116</v>
      </c>
      <c r="I32" s="1">
        <f>'Master table catch from report'!I32</f>
        <v>0</v>
      </c>
      <c r="J32" s="1">
        <f>'Master table catch from report'!J32</f>
        <v>20006</v>
      </c>
      <c r="K32" s="1">
        <f>SUM('Master table adjusted WCPO'!$E32:$J32)</f>
        <v>100122</v>
      </c>
      <c r="L32" s="7">
        <f>'Master table catch from report'!L32</f>
        <v>2024</v>
      </c>
      <c r="M32" s="19">
        <f>'Master table catch from report'!M32</f>
        <v>46574</v>
      </c>
      <c r="N32" s="7" t="str">
        <f>'Master table catch from report'!N32</f>
        <v>Ecuador, Panama, United States</v>
      </c>
      <c r="O32" s="7" t="str">
        <f>'Master table catch from report'!O32</f>
        <v>77 (Pacific, Eastern Central), 87 (Pacific, Southeast)</v>
      </c>
      <c r="P32" s="7">
        <f>'Master table catch from report'!P32</f>
        <v>-0.43944899999999998</v>
      </c>
      <c r="Q32" s="7">
        <f>'Master table catch from report'!Q32</f>
        <v>-83.392999000000003</v>
      </c>
    </row>
    <row r="33" spans="1:17" x14ac:dyDescent="0.35">
      <c r="A33" s="3" t="s">
        <v>112</v>
      </c>
      <c r="B33" s="8" t="s">
        <v>36</v>
      </c>
      <c r="C33" s="7" t="str">
        <f>'Master table catch from report'!C33</f>
        <v>In Assessment</v>
      </c>
      <c r="D33" s="7" t="str">
        <f>'Master table catch from report'!D33</f>
        <v>Surrounding Nets - With purse lines (purse seines)</v>
      </c>
      <c r="E33" s="1">
        <f>'Master table catch from report'!E33</f>
        <v>0</v>
      </c>
      <c r="F33" s="1">
        <f>'Master table catch from report'!F33</f>
        <v>0</v>
      </c>
      <c r="G33" s="1">
        <f>'Master table catch from report'!G33</f>
        <v>11392</v>
      </c>
      <c r="H33" s="1">
        <f>'Master table catch from report'!H33</f>
        <v>0</v>
      </c>
      <c r="I33" s="1">
        <f>'Master table catch from report'!I33</f>
        <v>0</v>
      </c>
      <c r="J33" s="1">
        <f>'Master table catch from report'!J33</f>
        <v>0</v>
      </c>
      <c r="K33" s="1">
        <f>SUM('Master table adjusted WCPO'!$E33:$J33)</f>
        <v>11392</v>
      </c>
      <c r="L33" s="7">
        <f>'Master table catch from report'!L33</f>
        <v>0</v>
      </c>
      <c r="M33" s="19" t="str">
        <f>'Master table catch from report'!M33</f>
        <v>N/A</v>
      </c>
      <c r="N33" s="7" t="str">
        <f>'Master table catch from report'!N33</f>
        <v>Ecuador</v>
      </c>
      <c r="O33" s="7" t="str">
        <f>'Master table catch from report'!O33</f>
        <v>77 (Pacific, Eastern Central), 87 (Pacific, Southeast)</v>
      </c>
      <c r="P33" s="7">
        <f>'Master table catch from report'!P33</f>
        <v>-0.43944899999999998</v>
      </c>
      <c r="Q33" s="7">
        <f>'Master table catch from report'!Q33</f>
        <v>-83.392999000000003</v>
      </c>
    </row>
    <row r="34" spans="1:17" x14ac:dyDescent="0.35">
      <c r="A34" s="3" t="s">
        <v>113</v>
      </c>
      <c r="B34" s="8" t="s">
        <v>194</v>
      </c>
      <c r="C34" s="7" t="str">
        <f>'Master table catch from report'!C34</f>
        <v>Certified</v>
      </c>
      <c r="D34" s="7" t="str">
        <f>'Master table catch from report'!D34</f>
        <v>Surrounding Nets - With purse lines (purse seines)</v>
      </c>
      <c r="E34" s="1">
        <f>'Master table catch from report'!E34</f>
        <v>0</v>
      </c>
      <c r="F34" s="1">
        <f>'Master table catch from report'!F34</f>
        <v>0</v>
      </c>
      <c r="G34" s="1">
        <f>'Master table catch from report'!G34</f>
        <v>0</v>
      </c>
      <c r="H34" s="1">
        <f>'Master table catch from report'!H34</f>
        <v>20256.2</v>
      </c>
      <c r="I34" s="1">
        <f>'Master table catch from report'!I34</f>
        <v>0</v>
      </c>
      <c r="J34" s="1">
        <f>'Master table catch from report'!J34</f>
        <v>4834.84</v>
      </c>
      <c r="K34" s="1">
        <f>SUM('Master table adjusted WCPO'!$E34:$J34)</f>
        <v>25091.040000000001</v>
      </c>
      <c r="L34" s="7">
        <f>'Master table catch from report'!L34</f>
        <v>2023</v>
      </c>
      <c r="M34" s="19">
        <f>'Master table catch from report'!M34</f>
        <v>46741</v>
      </c>
      <c r="N34" s="7" t="str">
        <f>'Master table catch from report'!N34</f>
        <v>Ecuador</v>
      </c>
      <c r="O34" s="7" t="str">
        <f>'Master table catch from report'!O34</f>
        <v>67 (Pacific, Northeast), 77 (Pacific, Eastern Central), 81 (Pacific, Southwest), 87 (Pacific, Southeast)</v>
      </c>
      <c r="P34" s="7">
        <f>'Master table catch from report'!P34</f>
        <v>-5.5</v>
      </c>
      <c r="Q34" s="7">
        <f>'Master table catch from report'!Q34</f>
        <v>-89</v>
      </c>
    </row>
    <row r="35" spans="1:17" x14ac:dyDescent="0.35">
      <c r="A35" s="3" t="s">
        <v>114</v>
      </c>
      <c r="B35" s="8" t="s">
        <v>40</v>
      </c>
      <c r="C35" s="7" t="str">
        <f>'Master table catch from report'!C35</f>
        <v>Certified</v>
      </c>
      <c r="D35" s="7" t="str">
        <f>'Master table catch from report'!D35</f>
        <v>Hooks And Lines - Longlines</v>
      </c>
      <c r="E35" s="1">
        <f>'Master table catch from report'!E35</f>
        <v>4513</v>
      </c>
      <c r="F35" s="1">
        <f>'Master table catch from report'!F35</f>
        <v>0</v>
      </c>
      <c r="G35" s="1">
        <f>'Master table catch from report'!G35</f>
        <v>279</v>
      </c>
      <c r="H35" s="1">
        <f>'Master table catch from report'!H35</f>
        <v>0</v>
      </c>
      <c r="I35" s="1">
        <f>'Master table catch from report'!I35</f>
        <v>0</v>
      </c>
      <c r="J35" s="1">
        <f>'Master table catch from report'!J35</f>
        <v>1415</v>
      </c>
      <c r="K35" s="1">
        <f>SUM('Master table adjusted WCPO'!$E35:$J35)</f>
        <v>6207</v>
      </c>
      <c r="L35" s="7">
        <f>'Master table catch from report'!L35</f>
        <v>2023</v>
      </c>
      <c r="M35" s="19">
        <f>'Master table catch from report'!M35</f>
        <v>46955</v>
      </c>
      <c r="N35" s="7" t="str">
        <f>'Master table catch from report'!N35</f>
        <v>Fiji</v>
      </c>
      <c r="O35" s="7" t="str">
        <f>'Master table catch from report'!O35</f>
        <v>71 (Pacific, Western Central), 77 (Pacific, Eastern Central)</v>
      </c>
      <c r="P35" s="7">
        <f>'Master table catch from report'!P35</f>
        <v>-19.070425289999999</v>
      </c>
      <c r="Q35" s="7">
        <f>'Master table catch from report'!Q35</f>
        <v>178.59375</v>
      </c>
    </row>
    <row r="36" spans="1:17" x14ac:dyDescent="0.35">
      <c r="A36" s="3" t="s">
        <v>115</v>
      </c>
      <c r="B36" s="8" t="s">
        <v>222</v>
      </c>
      <c r="C36" s="7" t="str">
        <f>'Master table catch from report'!C36</f>
        <v>Certified</v>
      </c>
      <c r="D36" s="7" t="str">
        <f>'Master table catch from report'!D36</f>
        <v>Hooks And Lines - Longlines</v>
      </c>
      <c r="E36" s="1">
        <f>'Master table catch from report'!E36</f>
        <v>4130</v>
      </c>
      <c r="F36" s="1">
        <f>'Master table catch from report'!F36</f>
        <v>0</v>
      </c>
      <c r="G36" s="1">
        <f>'Master table catch from report'!G36</f>
        <v>0</v>
      </c>
      <c r="H36" s="1">
        <f>'Master table catch from report'!H36</f>
        <v>0</v>
      </c>
      <c r="I36" s="1">
        <f>'Master table catch from report'!I36</f>
        <v>0</v>
      </c>
      <c r="J36" s="1">
        <f>'Master table catch from report'!J36</f>
        <v>1309</v>
      </c>
      <c r="K36" s="1">
        <f>SUM('Master table adjusted WCPO'!$E36:$J36)</f>
        <v>5439</v>
      </c>
      <c r="L36" s="7">
        <f>'Master table catch from report'!L36</f>
        <v>2022</v>
      </c>
      <c r="M36" s="19">
        <f>'Master table catch from report'!M36</f>
        <v>47385</v>
      </c>
      <c r="N36" s="7" t="str">
        <f>'Master table catch from report'!N36</f>
        <v>French Polynesia</v>
      </c>
      <c r="O36" s="7" t="str">
        <f>'Master table catch from report'!O36</f>
        <v>71 (Pacific, Western Central), 77 (Pacific, Eastern Central)</v>
      </c>
      <c r="P36" s="7">
        <f>'Master table catch from report'!P36</f>
        <v>-17.573181999999999</v>
      </c>
      <c r="Q36" s="7">
        <f>'Master table catch from report'!Q36</f>
        <v>-149.11924500000001</v>
      </c>
    </row>
    <row r="37" spans="1:17" x14ac:dyDescent="0.35">
      <c r="A37" s="4" t="s">
        <v>179</v>
      </c>
      <c r="B37" s="2" t="s">
        <v>178</v>
      </c>
      <c r="C37" s="7" t="str">
        <f>'Master table catch from report'!C37</f>
        <v>Certified</v>
      </c>
      <c r="D37" s="7" t="str">
        <f>'Master table catch from report'!D37</f>
        <v>Hooks And Lines - Longlines</v>
      </c>
      <c r="E37" s="1">
        <f>'Master table catch from report'!E37</f>
        <v>1999</v>
      </c>
      <c r="F37" s="1">
        <f>'Master table catch from report'!F37</f>
        <v>0</v>
      </c>
      <c r="G37" s="1">
        <f>'Master table catch from report'!G37</f>
        <v>132.709</v>
      </c>
      <c r="H37" s="1">
        <f>'Master table catch from report'!H37</f>
        <v>0</v>
      </c>
      <c r="I37" s="1">
        <f>'Master table catch from report'!I37</f>
        <v>0</v>
      </c>
      <c r="J37" s="1">
        <f>'Master table catch from report'!J37</f>
        <v>8.7449999999999992</v>
      </c>
      <c r="K37" s="1">
        <f>SUM('Master table adjusted WCPO'!$E37:$J37)</f>
        <v>2140.4539999999997</v>
      </c>
      <c r="L37" s="7">
        <f>'Master table catch from report'!L37</f>
        <v>2021</v>
      </c>
      <c r="M37" s="19">
        <f>'Master table catch from report'!M37</f>
        <v>47177</v>
      </c>
      <c r="N37" s="7" t="str">
        <f>'Master table catch from report'!N37</f>
        <v>Vanuatu</v>
      </c>
      <c r="O37" s="7" t="str">
        <f>'Master table catch from report'!O37</f>
        <v>61 (Pacific, Northwest), 71 (Pacific, Western Central), 77 (Pacific, Eastern Central), 81 (Pacific, Southwest), 87 (Pacific, Southeast)</v>
      </c>
      <c r="P37" s="7">
        <f>'Master table catch from report'!P37</f>
        <v>-2</v>
      </c>
      <c r="Q37" s="7">
        <f>'Master table catch from report'!Q37</f>
        <v>170</v>
      </c>
    </row>
    <row r="38" spans="1:17" x14ac:dyDescent="0.35">
      <c r="A38" s="4" t="s">
        <v>158</v>
      </c>
      <c r="B38" s="2" t="s">
        <v>159</v>
      </c>
      <c r="C38" s="7" t="str">
        <f>'Master table catch from report'!C38</f>
        <v>Certified</v>
      </c>
      <c r="D38" s="7" t="str">
        <f>'Master table catch from report'!D38</f>
        <v>Hooks And Lines - Longlines</v>
      </c>
      <c r="E38" s="1">
        <f>'Master table catch from report'!E38</f>
        <v>308.77</v>
      </c>
      <c r="F38" s="1">
        <f>'Master table catch from report'!F38</f>
        <v>0</v>
      </c>
      <c r="G38" s="1">
        <f>'Master table catch from report'!G38</f>
        <v>221</v>
      </c>
      <c r="H38" s="1">
        <f>'Master table catch from report'!H38</f>
        <v>0</v>
      </c>
      <c r="I38" s="1">
        <f>'Master table catch from report'!I38</f>
        <v>0</v>
      </c>
      <c r="J38" s="1">
        <f>'Master table catch from report'!J38</f>
        <v>316</v>
      </c>
      <c r="K38" s="1">
        <f>SUM('Master table adjusted WCPO'!$E38:$J38)</f>
        <v>845.77</v>
      </c>
      <c r="L38" s="7">
        <f>'Master table catch from report'!L38</f>
        <v>2020</v>
      </c>
      <c r="M38" s="19">
        <f>'Master table catch from report'!M38</f>
        <v>47177</v>
      </c>
      <c r="N38" s="7" t="str">
        <f>'Master table catch from report'!N38</f>
        <v>Japan</v>
      </c>
      <c r="O38" s="7" t="str">
        <f>'Master table catch from report'!O38</f>
        <v>71 (Pacific, Western Central)</v>
      </c>
      <c r="P38" s="7">
        <f>'Master table catch from report'!P38</f>
        <v>7.6556879999999996</v>
      </c>
      <c r="Q38" s="7">
        <f>'Master table catch from report'!Q38</f>
        <v>155.83011099999999</v>
      </c>
    </row>
    <row r="39" spans="1:17" x14ac:dyDescent="0.35">
      <c r="A39" s="17" t="s">
        <v>158</v>
      </c>
      <c r="B39" s="18" t="s">
        <v>159</v>
      </c>
      <c r="C39" s="7" t="str">
        <f>'Master table catch from report'!C39</f>
        <v>In Assessment</v>
      </c>
      <c r="D39" s="7">
        <f>'Master table catch from report'!D39</f>
        <v>0</v>
      </c>
      <c r="E39" s="1">
        <f>'Master table catch from report'!E39</f>
        <v>0</v>
      </c>
      <c r="F39" s="1">
        <f>'Master table catch from report'!F39</f>
        <v>0</v>
      </c>
      <c r="G39" s="1">
        <f>'Master table catch from report'!G39</f>
        <v>0</v>
      </c>
      <c r="H39" s="1">
        <f>'Master table catch from report'!H39</f>
        <v>8514</v>
      </c>
      <c r="I39" s="1">
        <f>'Master table catch from report'!I39</f>
        <v>0</v>
      </c>
      <c r="J39" s="1">
        <f>'Master table catch from report'!J39</f>
        <v>0</v>
      </c>
      <c r="K39" s="1">
        <f>SUM('Master table adjusted WCPO'!$E39:$J39)</f>
        <v>8514</v>
      </c>
      <c r="L39" s="7">
        <f>'Master table catch from report'!L39</f>
        <v>2023</v>
      </c>
      <c r="M39" s="19">
        <f>'Master table catch from report'!M39</f>
        <v>47177</v>
      </c>
      <c r="N39" s="7" t="str">
        <f>'Master table catch from report'!N39</f>
        <v>Japan</v>
      </c>
      <c r="O39" s="7" t="str">
        <f>'Master table catch from report'!O39</f>
        <v>71 (Pacific, Western Central)</v>
      </c>
      <c r="P39" s="7">
        <f>'Master table catch from report'!P39</f>
        <v>7.6556879999999996</v>
      </c>
      <c r="Q39" s="7">
        <f>'Master table catch from report'!Q39</f>
        <v>155.83011099999999</v>
      </c>
    </row>
    <row r="40" spans="1:17" x14ac:dyDescent="0.35">
      <c r="A40" s="17" t="s">
        <v>245</v>
      </c>
      <c r="B40" s="18" t="s">
        <v>244</v>
      </c>
      <c r="C40" s="7" t="str">
        <f>'Master table catch from report'!C40</f>
        <v>In Assessment</v>
      </c>
      <c r="D40" s="7" t="str">
        <f>'Master table catch from report'!D40</f>
        <v>Hooks And Lines - Handlines and pole-lines (mechanized): Pole and line</v>
      </c>
      <c r="E40" s="1">
        <f>'Master table catch from report'!E40</f>
        <v>0</v>
      </c>
      <c r="F40" s="1">
        <f>'Master table catch from report'!F40</f>
        <v>0</v>
      </c>
      <c r="G40" s="1">
        <f>'Master table catch from report'!G40</f>
        <v>0</v>
      </c>
      <c r="H40" s="1">
        <f>'Master table catch from report'!H40</f>
        <v>6798</v>
      </c>
      <c r="I40" s="1">
        <f>'Master table catch from report'!I40</f>
        <v>0</v>
      </c>
      <c r="J40" s="1">
        <f>'Master table catch from report'!J40</f>
        <v>3951</v>
      </c>
      <c r="K40" s="1">
        <f>SUM('Master table adjusted WCPO'!$E40:$J40)</f>
        <v>10749</v>
      </c>
      <c r="L40" s="7">
        <f>'Master table catch from report'!L40</f>
        <v>2020</v>
      </c>
      <c r="M40" s="19" t="str">
        <f>'Master table catch from report'!M40</f>
        <v>N/A</v>
      </c>
      <c r="N40" s="7" t="str">
        <f>'Master table catch from report'!N40</f>
        <v>Thailand, Ghana</v>
      </c>
      <c r="O40" s="7" t="str">
        <f>'Master table catch from report'!O40</f>
        <v>34 (Atlantic, Eastern Central), 41 (Atlantic, Southwest), 47 (Atlantic, Southeast)</v>
      </c>
      <c r="P40" s="7">
        <f>'Master table catch from report'!P40</f>
        <v>5.766667</v>
      </c>
      <c r="Q40" s="7">
        <f>'Master table catch from report'!Q40</f>
        <v>0</v>
      </c>
    </row>
    <row r="41" spans="1:17" x14ac:dyDescent="0.35">
      <c r="A41" s="17" t="s">
        <v>243</v>
      </c>
      <c r="B41" s="18" t="s">
        <v>242</v>
      </c>
      <c r="C41" s="7" t="str">
        <f>'Master table catch from report'!C41</f>
        <v>In Assessment</v>
      </c>
      <c r="D41" s="7" t="str">
        <f>'Master table catch from report'!D41</f>
        <v>Surrounding Nets - With purse lines (purse seines)</v>
      </c>
      <c r="E41" s="1">
        <f>'Master table catch from report'!E41</f>
        <v>0</v>
      </c>
      <c r="F41" s="1">
        <f>'Master table catch from report'!F41</f>
        <v>0</v>
      </c>
      <c r="G41" s="1">
        <f>'Master table catch from report'!G41</f>
        <v>0</v>
      </c>
      <c r="H41" s="1">
        <f>'Master table catch from report'!H41</f>
        <v>56655</v>
      </c>
      <c r="I41" s="1">
        <f>'Master table catch from report'!I41</f>
        <v>0</v>
      </c>
      <c r="J41" s="1">
        <f>'Master table catch from report'!J41</f>
        <v>22367</v>
      </c>
      <c r="K41" s="1">
        <f>SUM('Master table adjusted WCPO'!$E41:$J41)</f>
        <v>79022</v>
      </c>
      <c r="L41" s="7">
        <f>'Master table catch from report'!L41</f>
        <v>2020</v>
      </c>
      <c r="M41" s="19" t="str">
        <f>'Master table catch from report'!M41</f>
        <v>N/A</v>
      </c>
      <c r="N41" s="7" t="str">
        <f>'Master table catch from report'!N41</f>
        <v>Thailand, Ghana</v>
      </c>
      <c r="O41" s="7" t="str">
        <f>'Master table catch from report'!O41</f>
        <v>34 (Atlantic, Eastern Central), 41 (Atlantic, Southwest), 47 (Atlantic, Southeast)</v>
      </c>
      <c r="P41" s="7">
        <f>'Master table catch from report'!P41</f>
        <v>5.6666670000000003</v>
      </c>
      <c r="Q41" s="7">
        <f>'Master table catch from report'!Q41</f>
        <v>0</v>
      </c>
    </row>
    <row r="42" spans="1:17" x14ac:dyDescent="0.35">
      <c r="A42" s="4" t="s">
        <v>140</v>
      </c>
      <c r="B42" s="2" t="s">
        <v>45</v>
      </c>
      <c r="C42" s="7" t="str">
        <f>'Master table catch from report'!C42</f>
        <v>Certified</v>
      </c>
      <c r="D42" s="7" t="str">
        <f>'Master table catch from report'!D42</f>
        <v>Hooks And Lines - Set longlines</v>
      </c>
      <c r="E42" s="1">
        <f>'Master table catch from report'!E42</f>
        <v>0</v>
      </c>
      <c r="F42" s="1">
        <f>'Master table catch from report'!F42</f>
        <v>0</v>
      </c>
      <c r="G42" s="1">
        <f>'Master table catch from report'!G42</f>
        <v>6662</v>
      </c>
      <c r="H42" s="1">
        <f>'Master table catch from report'!H42</f>
        <v>0</v>
      </c>
      <c r="I42" s="1">
        <f>'Master table catch from report'!I42</f>
        <v>0</v>
      </c>
      <c r="J42" s="1">
        <f>'Master table catch from report'!J42</f>
        <v>3231</v>
      </c>
      <c r="K42" s="1">
        <f>SUM('Master table adjusted WCPO'!$E42:$J42)</f>
        <v>9893</v>
      </c>
      <c r="L42" s="7">
        <f>'Master table catch from report'!L42</f>
        <v>2022</v>
      </c>
      <c r="M42" s="19">
        <f>'Master table catch from report'!M42</f>
        <v>46634</v>
      </c>
      <c r="N42" s="7" t="str">
        <f>'Master table catch from report'!N42</f>
        <v>United States</v>
      </c>
      <c r="O42" s="7" t="str">
        <f>'Master table catch from report'!O42</f>
        <v>77 (Pacific, Eastern Central)</v>
      </c>
      <c r="P42" s="7">
        <f>'Master table catch from report'!P42</f>
        <v>19.425727164544998</v>
      </c>
      <c r="Q42" s="7">
        <f>'Master table catch from report'!Q42</f>
        <v>-156.61205846576999</v>
      </c>
    </row>
    <row r="43" spans="1:17" x14ac:dyDescent="0.35">
      <c r="A43" s="17" t="s">
        <v>259</v>
      </c>
      <c r="B43" s="18" t="s">
        <v>258</v>
      </c>
      <c r="C43" s="7" t="str">
        <f>'Master table catch from report'!C43</f>
        <v>In-transition to MSC</v>
      </c>
      <c r="D43" s="7" t="str">
        <f>'Master table catch from report'!D43</f>
        <v>Hooks And Lines - Drifting longlines</v>
      </c>
      <c r="E43" s="1">
        <f>'Master table catch from report'!E43</f>
        <v>0</v>
      </c>
      <c r="F43" s="1">
        <f>'Master table catch from report'!F43</f>
        <v>0</v>
      </c>
      <c r="G43" s="1">
        <f>'Master table catch from report'!G43</f>
        <v>3686.65</v>
      </c>
      <c r="H43" s="1">
        <f>'Master table catch from report'!H43</f>
        <v>0</v>
      </c>
      <c r="I43" s="1">
        <f>'Master table catch from report'!I43</f>
        <v>0</v>
      </c>
      <c r="J43" s="1">
        <f>'Master table catch from report'!J43</f>
        <v>7300.18</v>
      </c>
      <c r="K43" s="1">
        <f>SUM('Master table adjusted WCPO'!$E43:$J43)</f>
        <v>10986.83</v>
      </c>
      <c r="L43" s="7">
        <f>'Master table catch from report'!L43</f>
        <v>2023</v>
      </c>
      <c r="M43" s="19" t="str">
        <f>'Master table catch from report'!M43</f>
        <v>N/A</v>
      </c>
      <c r="N43" s="7" t="str">
        <f>'Master table catch from report'!N43</f>
        <v>Indonesia</v>
      </c>
      <c r="O43" s="7" t="str">
        <f>'Master table catch from report'!O43</f>
        <v>57 (Indian Ocean, Eastern)</v>
      </c>
      <c r="P43" s="7">
        <f>'Master table catch from report'!P43</f>
        <v>-10.85727681</v>
      </c>
      <c r="Q43" s="7">
        <f>'Master table catch from report'!Q43</f>
        <v>110.72036469</v>
      </c>
    </row>
    <row r="44" spans="1:17" x14ac:dyDescent="0.35">
      <c r="A44" s="3" t="s">
        <v>117</v>
      </c>
      <c r="B44" s="8" t="s">
        <v>48</v>
      </c>
      <c r="C44" s="7" t="str">
        <f>'Master table catch from report'!C44</f>
        <v>Certified</v>
      </c>
      <c r="D44" s="7" t="str">
        <f>'Master table catch from report'!D44</f>
        <v>Hooks And Lines - Handlines and pole-lines (hand-operated)</v>
      </c>
      <c r="E44" s="1">
        <f>'Master table catch from report'!E44</f>
        <v>0</v>
      </c>
      <c r="F44" s="1">
        <f>'Master table catch from report'!F44</f>
        <v>0</v>
      </c>
      <c r="G44" s="1">
        <f>'Master table catch from report'!G44</f>
        <v>0</v>
      </c>
      <c r="H44" s="1">
        <f>'Master table catch from report'!H44</f>
        <v>7998</v>
      </c>
      <c r="I44" s="1">
        <f>'Master table catch from report'!I44</f>
        <v>0</v>
      </c>
      <c r="J44" s="1">
        <f>'Master table catch from report'!J44</f>
        <v>5818.1</v>
      </c>
      <c r="K44" s="1">
        <f>SUM('Master table adjusted WCPO'!$E44:$J44)</f>
        <v>13816.1</v>
      </c>
      <c r="L44" s="7">
        <f>'Master table catch from report'!L44</f>
        <v>2022</v>
      </c>
      <c r="M44" s="19">
        <f>'Master table catch from report'!M44</f>
        <v>46047</v>
      </c>
      <c r="N44" s="7" t="str">
        <f>'Master table catch from report'!N44</f>
        <v>Indonesia</v>
      </c>
      <c r="O44" s="7" t="str">
        <f>'Master table catch from report'!O44</f>
        <v>71 (Pacific, Western Central)</v>
      </c>
      <c r="P44" s="7">
        <f>'Master table catch from report'!P44</f>
        <v>-2.85</v>
      </c>
      <c r="Q44" s="7">
        <f>'Master table catch from report'!Q44</f>
        <v>125</v>
      </c>
    </row>
    <row r="45" spans="1:17" x14ac:dyDescent="0.35">
      <c r="A45" s="5" t="s">
        <v>118</v>
      </c>
      <c r="B45" s="10" t="s">
        <v>52</v>
      </c>
      <c r="C45" s="7" t="str">
        <f>'Master table catch from report'!C45</f>
        <v>Certified</v>
      </c>
      <c r="D45" s="7" t="str">
        <f>'Master table catch from report'!D45</f>
        <v>Hooks And Lines - Handlines and pole-lines (hand-operated)</v>
      </c>
      <c r="E45" s="1">
        <f>'Master table catch from report'!E45</f>
        <v>736</v>
      </c>
      <c r="F45" s="1">
        <f>'Master table catch from report'!F45</f>
        <v>0</v>
      </c>
      <c r="G45" s="1">
        <f>'Master table catch from report'!G45</f>
        <v>0</v>
      </c>
      <c r="H45" s="1">
        <f>'Master table catch from report'!H45</f>
        <v>4354</v>
      </c>
      <c r="I45" s="1">
        <f>'Master table catch from report'!I45</f>
        <v>0</v>
      </c>
      <c r="J45" s="1">
        <f>'Master table catch from report'!J45</f>
        <v>0</v>
      </c>
      <c r="K45" s="1">
        <f>SUM('Master table adjusted WCPO'!$E45:$J45)</f>
        <v>5090</v>
      </c>
      <c r="L45" s="7">
        <f>'Master table catch from report'!L45</f>
        <v>2023</v>
      </c>
      <c r="M45" s="19">
        <f>'Master table catch from report'!M45</f>
        <v>46492</v>
      </c>
      <c r="N45" s="7" t="str">
        <f>'Master table catch from report'!N45</f>
        <v>Japan</v>
      </c>
      <c r="O45" s="7" t="str">
        <f>'Master table catch from report'!O45</f>
        <v>71 (Pacific, Western Central)</v>
      </c>
      <c r="P45" s="7">
        <f>'Master table catch from report'!P45</f>
        <v>30.513767029</v>
      </c>
      <c r="Q45" s="7">
        <f>'Master table catch from report'!Q45</f>
        <v>132.42920570999999</v>
      </c>
    </row>
    <row r="46" spans="1:17" x14ac:dyDescent="0.35">
      <c r="A46" s="6" t="s">
        <v>141</v>
      </c>
      <c r="B46" s="11" t="s">
        <v>53</v>
      </c>
      <c r="C46" s="7" t="str">
        <f>'Master table catch from report'!C46</f>
        <v>Certified</v>
      </c>
      <c r="D46" s="7" t="str">
        <f>'Master table catch from report'!D46</f>
        <v>Hooks And Lines - Handlines and pole-lines (mechanized): Greenstick, Hooks And Lines: trolling, live bait hand line, and hand line with stone (deeper waters)</v>
      </c>
      <c r="E46" s="1">
        <f>'Master table catch from report'!E46</f>
        <v>0</v>
      </c>
      <c r="F46" s="1">
        <f>'Master table catch from report'!F46</f>
        <v>55.98</v>
      </c>
      <c r="G46" s="1">
        <f>'Master table catch from report'!G46</f>
        <v>0</v>
      </c>
      <c r="H46" s="1">
        <f>'Master table catch from report'!H46</f>
        <v>0</v>
      </c>
      <c r="I46" s="1">
        <f>'Master table catch from report'!I46</f>
        <v>0</v>
      </c>
      <c r="J46" s="1">
        <f>'Master table catch from report'!J46</f>
        <v>0</v>
      </c>
      <c r="K46" s="1">
        <f>SUM('Master table adjusted WCPO'!$E46:$J46)</f>
        <v>55.98</v>
      </c>
      <c r="L46" s="7">
        <f>'Master table catch from report'!L46</f>
        <v>2020</v>
      </c>
      <c r="M46" s="19">
        <f>'Master table catch from report'!M46</f>
        <v>46637</v>
      </c>
      <c r="N46" s="7" t="str">
        <f>'Master table catch from report'!N46</f>
        <v>Spain</v>
      </c>
      <c r="O46" s="7" t="str">
        <f>'Master table catch from report'!O46</f>
        <v>27 (Atlantic, Northeast), 37 (Mediterranean and Black Sea)</v>
      </c>
      <c r="P46" s="7">
        <f>'Master table catch from report'!P46</f>
        <v>36</v>
      </c>
      <c r="Q46" s="7">
        <f>'Master table catch from report'!Q46</f>
        <v>-6</v>
      </c>
    </row>
    <row r="47" spans="1:17" x14ac:dyDescent="0.35">
      <c r="A47" s="4" t="s">
        <v>168</v>
      </c>
      <c r="B47" s="2" t="s">
        <v>167</v>
      </c>
      <c r="C47" s="7" t="str">
        <f>'Master table catch from report'!C47</f>
        <v>Certified</v>
      </c>
      <c r="D47" s="7" t="str">
        <f>'Master table catch from report'!D47</f>
        <v>Hooks And Lines - Handlines and pole-lines (hand-operated)</v>
      </c>
      <c r="E47" s="1">
        <f>'Master table catch from report'!E47</f>
        <v>1194.1489999999999</v>
      </c>
      <c r="F47" s="1">
        <f>'Master table catch from report'!F47</f>
        <v>0</v>
      </c>
      <c r="G47" s="1">
        <f>'Master table catch from report'!G47</f>
        <v>0</v>
      </c>
      <c r="H47" s="1">
        <f>'Master table catch from report'!H47</f>
        <v>6671.0139999999992</v>
      </c>
      <c r="I47" s="1">
        <f>'Master table catch from report'!I47</f>
        <v>0</v>
      </c>
      <c r="J47" s="1">
        <f>'Master table catch from report'!J47</f>
        <v>0</v>
      </c>
      <c r="K47" s="1">
        <f>SUM('Master table adjusted WCPO'!$E47:$J47)</f>
        <v>7865.1629999999986</v>
      </c>
      <c r="L47" s="7">
        <f>'Master table catch from report'!L47</f>
        <v>2023</v>
      </c>
      <c r="M47" s="19">
        <f>'Master table catch from report'!M47</f>
        <v>46845</v>
      </c>
      <c r="N47" s="7" t="str">
        <f>'Master table catch from report'!N47</f>
        <v>Japan</v>
      </c>
      <c r="O47" s="7" t="str">
        <f>'Master table catch from report'!O47</f>
        <v>61 (Pacific, Northwest), 71 (Pacific, Western Central), 77 (Pacific, Eastern Central)</v>
      </c>
      <c r="P47" s="7">
        <f>'Master table catch from report'!P47</f>
        <v>32.081409000000001</v>
      </c>
      <c r="Q47" s="7">
        <f>'Master table catch from report'!Q47</f>
        <v>145.966261</v>
      </c>
    </row>
    <row r="48" spans="1:17" x14ac:dyDescent="0.35">
      <c r="A48" s="17" t="s">
        <v>255</v>
      </c>
      <c r="B48" s="18" t="s">
        <v>256</v>
      </c>
      <c r="C48" s="7" t="str">
        <f>'Master table catch from report'!C48</f>
        <v>In Assessment</v>
      </c>
      <c r="D48" s="7" t="str">
        <f>'Master table catch from report'!D48</f>
        <v>Hooks And Lines - Drifting longlines</v>
      </c>
      <c r="E48" s="1">
        <f>'Master table catch from report'!E48</f>
        <v>5486</v>
      </c>
      <c r="F48" s="1">
        <f>'Master table catch from report'!F48</f>
        <v>0</v>
      </c>
      <c r="G48" s="1">
        <f>'Master table catch from report'!G48</f>
        <v>0</v>
      </c>
      <c r="H48" s="1">
        <f>'Master table catch from report'!H48</f>
        <v>0</v>
      </c>
      <c r="I48" s="1">
        <f>'Master table catch from report'!I48</f>
        <v>0</v>
      </c>
      <c r="J48" s="1">
        <f>'Master table catch from report'!J48</f>
        <v>0</v>
      </c>
      <c r="K48" s="1">
        <f>SUM('Master table adjusted WCPO'!$E48:$J48)</f>
        <v>5486</v>
      </c>
      <c r="L48" s="7">
        <f>'Master table catch from report'!L48</f>
        <v>0</v>
      </c>
      <c r="M48" s="19" t="str">
        <f>'Master table catch from report'!M48</f>
        <v>N/A</v>
      </c>
      <c r="N48" s="7" t="str">
        <f>'Master table catch from report'!N48</f>
        <v>Mauritius</v>
      </c>
      <c r="O48" s="7" t="str">
        <f>'Master table catch from report'!O48</f>
        <v>51 (Indian Ocean, Western), 57 (Indian Ocean, Eastern)</v>
      </c>
      <c r="P48" s="7">
        <f>'Master table catch from report'!P48</f>
        <v>57.501480000000001</v>
      </c>
      <c r="Q48" s="7">
        <f>'Master table catch from report'!Q48</f>
        <v>-20.14132</v>
      </c>
    </row>
    <row r="49" spans="1:17" x14ac:dyDescent="0.35">
      <c r="A49" s="3" t="s">
        <v>119</v>
      </c>
      <c r="B49" s="8" t="s">
        <v>226</v>
      </c>
      <c r="C49" s="7" t="str">
        <f>'Master table catch from report'!C49</f>
        <v>Suspended</v>
      </c>
      <c r="D49" s="7" t="str">
        <f>'Master table catch from report'!D49</f>
        <v>Hooks And Lines - Longlines</v>
      </c>
      <c r="E49" s="1">
        <f>'Master table catch from report'!E49</f>
        <v>0.59199999999999997</v>
      </c>
      <c r="F49" s="1">
        <f>'Master table catch from report'!F49</f>
        <v>0</v>
      </c>
      <c r="G49" s="1">
        <f>'Master table catch from report'!G49</f>
        <v>128.31</v>
      </c>
      <c r="H49" s="1">
        <f>'Master table catch from report'!H49</f>
        <v>0</v>
      </c>
      <c r="I49" s="1">
        <f>'Master table catch from report'!I49</f>
        <v>0</v>
      </c>
      <c r="J49" s="1">
        <f>'Master table catch from report'!J49</f>
        <v>72.569999999999993</v>
      </c>
      <c r="K49" s="1">
        <f>SUM('Master table adjusted WCPO'!$E49:$J49)</f>
        <v>201.47200000000001</v>
      </c>
      <c r="L49" s="7">
        <f>'Master table catch from report'!L49</f>
        <v>2022</v>
      </c>
      <c r="M49" s="19">
        <f>'Master table catch from report'!M49</f>
        <v>46040</v>
      </c>
      <c r="N49" s="7" t="str">
        <f>'Master table catch from report'!N49</f>
        <v>Kiribati</v>
      </c>
      <c r="O49" s="7" t="str">
        <f>'Master table catch from report'!O49</f>
        <v>71 (Pacific, Western Central), 77 (Pacific, Eastern Central)</v>
      </c>
      <c r="P49" s="7">
        <f>'Master table catch from report'!P49</f>
        <v>-3.3</v>
      </c>
      <c r="Q49" s="7">
        <f>'Master table catch from report'!Q49</f>
        <v>-168</v>
      </c>
    </row>
    <row r="50" spans="1:17" x14ac:dyDescent="0.35">
      <c r="A50" s="3" t="s">
        <v>120</v>
      </c>
      <c r="B50" s="8" t="s">
        <v>57</v>
      </c>
      <c r="C50" s="7" t="str">
        <f>'Master table catch from report'!C50</f>
        <v>Certified</v>
      </c>
      <c r="D50" s="7" t="str">
        <f>'Master table catch from report'!D50</f>
        <v>Hooks And Lines - Handlines and pole-lines (hand-operated)</v>
      </c>
      <c r="E50" s="1">
        <f>'Master table catch from report'!E50</f>
        <v>1393</v>
      </c>
      <c r="F50" s="1">
        <f>'Master table catch from report'!F50</f>
        <v>0</v>
      </c>
      <c r="G50" s="1">
        <f>'Master table catch from report'!G50</f>
        <v>0</v>
      </c>
      <c r="H50" s="1">
        <f>'Master table catch from report'!H50</f>
        <v>7803</v>
      </c>
      <c r="I50" s="1">
        <f>'Master table catch from report'!I50</f>
        <v>0</v>
      </c>
      <c r="J50" s="1">
        <f>'Master table catch from report'!J50</f>
        <v>0</v>
      </c>
      <c r="K50" s="1">
        <f>SUM('Master table adjusted WCPO'!$E50:$J50)</f>
        <v>9196</v>
      </c>
      <c r="L50" s="7">
        <f>'Master table catch from report'!L50</f>
        <v>2022</v>
      </c>
      <c r="M50" s="19">
        <f>'Master table catch from report'!M50</f>
        <v>46193</v>
      </c>
      <c r="N50" s="7" t="str">
        <f>'Master table catch from report'!N50</f>
        <v>Japan</v>
      </c>
      <c r="O50" s="7" t="str">
        <f>'Master table catch from report'!O50</f>
        <v>71 (Pacific, Western Central)</v>
      </c>
      <c r="P50" s="7">
        <f>'Master table catch from report'!P50</f>
        <v>32.081409000000001</v>
      </c>
      <c r="Q50" s="7">
        <f>'Master table catch from report'!Q50</f>
        <v>145.966261</v>
      </c>
    </row>
    <row r="51" spans="1:17" x14ac:dyDescent="0.35">
      <c r="A51" s="4" t="s">
        <v>183</v>
      </c>
      <c r="B51" s="2" t="s">
        <v>182</v>
      </c>
      <c r="C51" s="7" t="str">
        <f>'Master table catch from report'!C51</f>
        <v>Certified</v>
      </c>
      <c r="D51" s="7" t="str">
        <f>'Master table catch from report'!D51</f>
        <v>Surrounding Nets - With purse lines (purse seines)</v>
      </c>
      <c r="E51" s="1">
        <f>'Master table catch from report'!E51</f>
        <v>0</v>
      </c>
      <c r="F51" s="1">
        <f>'Master table catch from report'!F51</f>
        <v>0</v>
      </c>
      <c r="G51" s="1">
        <f>'Master table catch from report'!G51</f>
        <v>0</v>
      </c>
      <c r="H51" s="1">
        <f>'Master table catch from report'!H51</f>
        <v>15392</v>
      </c>
      <c r="I51" s="1">
        <f>'Master table catch from report'!I51</f>
        <v>0</v>
      </c>
      <c r="J51" s="1">
        <f>'Master table catch from report'!J51</f>
        <v>4093</v>
      </c>
      <c r="K51" s="1">
        <f>SUM('Master table adjusted WCPO'!$E51:$J51)</f>
        <v>19485</v>
      </c>
      <c r="L51" s="7">
        <f>'Master table catch from report'!L51</f>
        <v>2021</v>
      </c>
      <c r="M51" s="19">
        <f>'Master table catch from report'!M51</f>
        <v>47164</v>
      </c>
      <c r="N51" s="7" t="str">
        <f>'Master table catch from report'!N51</f>
        <v>Japan</v>
      </c>
      <c r="O51" s="7" t="str">
        <f>'Master table catch from report'!O51</f>
        <v>71 (Pacific, Western Central)</v>
      </c>
      <c r="P51" s="7">
        <f>'Master table catch from report'!P51</f>
        <v>8</v>
      </c>
      <c r="Q51" s="7">
        <f>'Master table catch from report'!Q51</f>
        <v>156</v>
      </c>
    </row>
    <row r="52" spans="1:17" x14ac:dyDescent="0.35">
      <c r="A52" s="3" t="s">
        <v>121</v>
      </c>
      <c r="B52" s="8" t="s">
        <v>58</v>
      </c>
      <c r="C52" s="7" t="str">
        <f>'Master table catch from report'!C52</f>
        <v>Certified</v>
      </c>
      <c r="D52" s="7" t="str">
        <f>'Master table catch from report'!D52</f>
        <v>Hooks And Lines: Pole and Line</v>
      </c>
      <c r="E52" s="1">
        <f>'Master table catch from report'!E52</f>
        <v>0</v>
      </c>
      <c r="F52" s="1">
        <f>'Master table catch from report'!F52</f>
        <v>0</v>
      </c>
      <c r="G52" s="1">
        <f>'Master table catch from report'!G52</f>
        <v>0</v>
      </c>
      <c r="H52" s="1">
        <f>'Master table catch from report'!H52</f>
        <v>129024</v>
      </c>
      <c r="I52" s="1">
        <f>'Master table catch from report'!I52</f>
        <v>0</v>
      </c>
      <c r="J52" s="1">
        <f>'Master table catch from report'!J52</f>
        <v>0</v>
      </c>
      <c r="K52" s="1">
        <f>SUM('Master table adjusted WCPO'!$E52:$J52)</f>
        <v>129024</v>
      </c>
      <c r="L52" s="7">
        <f>'Master table catch from report'!L52</f>
        <v>2023</v>
      </c>
      <c r="M52" s="19">
        <f>'Master table catch from report'!M52</f>
        <v>46901</v>
      </c>
      <c r="N52" s="7" t="str">
        <f>'Master table catch from report'!N52</f>
        <v>Maldives</v>
      </c>
      <c r="O52" s="7" t="str">
        <f>'Master table catch from report'!O52</f>
        <v>51 (Indian Ocean, Western)</v>
      </c>
      <c r="P52" s="7">
        <f>'Master table catch from report'!P52</f>
        <v>7.6172000000000004E-2</v>
      </c>
      <c r="Q52" s="7">
        <f>'Master table catch from report'!Q52</f>
        <v>72.861328</v>
      </c>
    </row>
    <row r="53" spans="1:17" x14ac:dyDescent="0.35">
      <c r="A53" s="3" t="s">
        <v>122</v>
      </c>
      <c r="B53" s="8" t="s">
        <v>61</v>
      </c>
      <c r="C53" s="7" t="str">
        <f>'Master table catch from report'!C53</f>
        <v>Certified</v>
      </c>
      <c r="D53" s="7" t="str">
        <f>'Master table catch from report'!D53</f>
        <v>Surrounding Nets - With purse lines (purse seines)</v>
      </c>
      <c r="E53" s="1"/>
      <c r="F53" s="1"/>
      <c r="G53" s="1">
        <f>'Master table catch from report'!$G53*0.5</f>
        <v>504.25</v>
      </c>
      <c r="H53" s="1">
        <f>'Master table catch from report'!$H53*0.5</f>
        <v>15124</v>
      </c>
      <c r="I53" s="1">
        <f>'Master table catch from report'!I53</f>
        <v>0</v>
      </c>
      <c r="J53" s="1">
        <f>'Master table catch from report'!$J53*0.5</f>
        <v>1068</v>
      </c>
      <c r="K53" s="1">
        <f>SUM('Master table adjusted WCPO'!$E53:$J53)</f>
        <v>16696.25</v>
      </c>
      <c r="L53" s="7">
        <f>'Master table catch from report'!L53</f>
        <v>2022</v>
      </c>
      <c r="M53" s="19">
        <f>'Master table catch from report'!M53</f>
        <v>46238</v>
      </c>
      <c r="N53" s="7" t="str">
        <f>'Master table catch from report'!N53</f>
        <v>Micronesia</v>
      </c>
      <c r="O53" s="7" t="str">
        <f>'Master table catch from report'!O53</f>
        <v>71 (Pacific, Western Central)</v>
      </c>
      <c r="P53" s="7">
        <f>'Master table catch from report'!P53</f>
        <v>7.4</v>
      </c>
      <c r="Q53" s="7">
        <f>'Master table catch from report'!Q53</f>
        <v>150.4</v>
      </c>
    </row>
    <row r="54" spans="1:17" x14ac:dyDescent="0.35">
      <c r="A54" s="4" t="s">
        <v>142</v>
      </c>
      <c r="B54" s="2" t="s">
        <v>63</v>
      </c>
      <c r="C54" s="7" t="str">
        <f>'Master table catch from report'!C54</f>
        <v>Certified</v>
      </c>
      <c r="D54" s="7" t="str">
        <f>'Master table catch from report'!D54</f>
        <v>Surrounding Nets - With purse lines (purse seines)</v>
      </c>
      <c r="E54" s="1"/>
      <c r="F54" s="1"/>
      <c r="G54" s="1">
        <f>'Master table catch from report'!$G54*0.5</f>
        <v>1000</v>
      </c>
      <c r="H54" s="1">
        <f>'Master table catch from report'!$H54*0.5</f>
        <v>53500</v>
      </c>
      <c r="I54" s="1">
        <f>'Master table catch from report'!I54</f>
        <v>0</v>
      </c>
      <c r="J54" s="1">
        <f>'Master table catch from report'!$J54*0.5</f>
        <v>7850</v>
      </c>
      <c r="K54" s="1">
        <f>SUM('Master table adjusted WCPO'!$E54:$J54)</f>
        <v>62350</v>
      </c>
      <c r="L54" s="7">
        <f>'Master table catch from report'!L54</f>
        <v>2023</v>
      </c>
      <c r="M54" s="19">
        <f>'Master table catch from report'!M54</f>
        <v>46574</v>
      </c>
      <c r="N54" s="7" t="str">
        <f>'Master table catch from report'!N54</f>
        <v>Taiwan</v>
      </c>
      <c r="O54" s="7" t="str">
        <f>'Master table catch from report'!O54</f>
        <v>71 (Pacific, Western Central), 77 (Pacific, Eastern Central)</v>
      </c>
      <c r="P54" s="7">
        <f>'Master table catch from report'!P54</f>
        <v>8.9307400000000001</v>
      </c>
      <c r="Q54" s="7">
        <f>'Master table catch from report'!Q54</f>
        <v>150.67766</v>
      </c>
    </row>
    <row r="55" spans="1:17" x14ac:dyDescent="0.35">
      <c r="A55" s="3" t="s">
        <v>123</v>
      </c>
      <c r="B55" s="8" t="s">
        <v>65</v>
      </c>
      <c r="C55" s="7" t="str">
        <f>'Master table catch from report'!C55</f>
        <v>Certified</v>
      </c>
      <c r="D55" s="7" t="str">
        <f>'Master table catch from report'!D55</f>
        <v>Hooks And Lines - Trolling lines</v>
      </c>
      <c r="E55" s="1">
        <f>'Master table catch from report'!E55</f>
        <v>823</v>
      </c>
      <c r="F55" s="1">
        <f>'Master table catch from report'!F55</f>
        <v>0</v>
      </c>
      <c r="G55" s="1">
        <f>'Master table catch from report'!G55</f>
        <v>0</v>
      </c>
      <c r="H55" s="1">
        <f>'Master table catch from report'!H55</f>
        <v>0</v>
      </c>
      <c r="I55" s="1">
        <f>'Master table catch from report'!I55</f>
        <v>0</v>
      </c>
      <c r="J55" s="1">
        <f>'Master table catch from report'!J55</f>
        <v>0</v>
      </c>
      <c r="K55" s="1">
        <f>SUM('Master table adjusted WCPO'!$E55:$J55)</f>
        <v>823</v>
      </c>
      <c r="L55" s="7">
        <f>'Master table catch from report'!L55</f>
        <v>2023</v>
      </c>
      <c r="M55" s="19">
        <f>'Master table catch from report'!M55</f>
        <v>46611</v>
      </c>
      <c r="N55" s="7" t="str">
        <f>'Master table catch from report'!N55</f>
        <v>New Zealand</v>
      </c>
      <c r="O55" s="7" t="str">
        <f>'Master table catch from report'!O55</f>
        <v>81 (Pacific, Southwest)</v>
      </c>
      <c r="P55" s="7">
        <f>'Master table catch from report'!P55</f>
        <v>-45.906319000000003</v>
      </c>
      <c r="Q55" s="7">
        <f>'Master table catch from report'!Q55</f>
        <v>164.882813</v>
      </c>
    </row>
    <row r="56" spans="1:17" x14ac:dyDescent="0.35">
      <c r="A56" s="3" t="s">
        <v>125</v>
      </c>
      <c r="B56" s="8" t="s">
        <v>70</v>
      </c>
      <c r="C56" s="7" t="str">
        <f>'Master table catch from report'!C56</f>
        <v>Certified</v>
      </c>
      <c r="D56" s="7" t="str">
        <f>'Master table catch from report'!D56</f>
        <v>Hooks And Lines - Handlines and pole-lines (mechanized), Hooks And Lines - Trolling lines</v>
      </c>
      <c r="E56" s="1">
        <f>'Master table catch from report'!E56</f>
        <v>12765</v>
      </c>
      <c r="F56" s="1">
        <f>'Master table catch from report'!F56</f>
        <v>0</v>
      </c>
      <c r="G56" s="1">
        <f>'Master table catch from report'!G56</f>
        <v>0</v>
      </c>
      <c r="H56" s="1">
        <f>'Master table catch from report'!H56</f>
        <v>0</v>
      </c>
      <c r="I56" s="1">
        <f>'Master table catch from report'!I56</f>
        <v>0</v>
      </c>
      <c r="J56" s="1">
        <f>'Master table catch from report'!J56</f>
        <v>0</v>
      </c>
      <c r="K56" s="1">
        <f>SUM('Master table adjusted WCPO'!$E56:$J56)</f>
        <v>12765</v>
      </c>
      <c r="L56" s="7">
        <f>'Master table catch from report'!L56</f>
        <v>2022</v>
      </c>
      <c r="M56" s="19">
        <f>'Master table catch from report'!M56</f>
        <v>46362</v>
      </c>
      <c r="N56" s="7" t="str">
        <f>'Master table catch from report'!N56</f>
        <v>Spain</v>
      </c>
      <c r="O56" s="7" t="str">
        <f>'Master table catch from report'!O56</f>
        <v>27 (Atlantic, Northeast)</v>
      </c>
      <c r="P56" s="7">
        <f>'Master table catch from report'!P56</f>
        <v>44.804250000000003</v>
      </c>
      <c r="Q56" s="7">
        <f>'Master table catch from report'!Q56</f>
        <v>-12.128906000000001</v>
      </c>
    </row>
    <row r="57" spans="1:17" x14ac:dyDescent="0.35">
      <c r="A57" s="4" t="s">
        <v>174</v>
      </c>
      <c r="B57" s="2" t="s">
        <v>175</v>
      </c>
      <c r="C57" s="7" t="str">
        <f>'Master table catch from report'!C57</f>
        <v>Certified</v>
      </c>
      <c r="D57" s="7" t="str">
        <f>'Master table catch from report'!D57</f>
        <v>Hooks And Lines - Handlines and pole-lines (hand-operated): Rod and reel, Hooks And Lines - Longlines, Hooks And Lines - Set longlines: Buoy gear, Hooks And Lines - Trolling lines</v>
      </c>
      <c r="E57" s="1">
        <f>'Master table catch from report'!E57</f>
        <v>0</v>
      </c>
      <c r="F57" s="1">
        <f>'Master table catch from report'!F57</f>
        <v>0</v>
      </c>
      <c r="G57" s="1">
        <f>'Master table catch from report'!G57</f>
        <v>0</v>
      </c>
      <c r="H57" s="1">
        <f>'Master table catch from report'!H57</f>
        <v>0</v>
      </c>
      <c r="I57" s="1">
        <f>'Master table catch from report'!I57</f>
        <v>0</v>
      </c>
      <c r="J57" s="1">
        <f>'Master table catch from report'!J57</f>
        <v>110</v>
      </c>
      <c r="K57" s="1">
        <f>SUM('Master table adjusted WCPO'!$E57:$J57)</f>
        <v>110</v>
      </c>
      <c r="L57" s="7">
        <f>'Master table catch from report'!L57</f>
        <v>2021</v>
      </c>
      <c r="M57" s="19" t="str">
        <f>'Master table catch from report'!M57</f>
        <v>N/A</v>
      </c>
      <c r="N57" s="7" t="str">
        <f>'Master table catch from report'!N57</f>
        <v>Canada</v>
      </c>
      <c r="O57" s="7" t="str">
        <f>'Master table catch from report'!O57</f>
        <v>21 (Atlantic, Northwest)</v>
      </c>
      <c r="P57" s="7">
        <f>'Master table catch from report'!P57</f>
        <v>43</v>
      </c>
      <c r="Q57" s="7">
        <f>'Master table catch from report'!Q57</f>
        <v>-63.5</v>
      </c>
    </row>
    <row r="58" spans="1:17" x14ac:dyDescent="0.35">
      <c r="A58" s="3" t="s">
        <v>126</v>
      </c>
      <c r="B58" s="8" t="s">
        <v>73</v>
      </c>
      <c r="C58" s="7" t="str">
        <f>'Master table catch from report'!C58</f>
        <v>Certified</v>
      </c>
      <c r="D58" s="7" t="str">
        <f>'Master table catch from report'!D58</f>
        <v>Hooks And Lines - Longlines</v>
      </c>
      <c r="E58" s="1">
        <f>'Master table catch from report'!E58</f>
        <v>188.4</v>
      </c>
      <c r="F58" s="1">
        <f>'Master table catch from report'!F58</f>
        <v>0</v>
      </c>
      <c r="G58" s="1">
        <f>'Master table catch from report'!G58</f>
        <v>19.100000000000001</v>
      </c>
      <c r="H58" s="1">
        <f>'Master table catch from report'!H58</f>
        <v>0</v>
      </c>
      <c r="I58" s="1">
        <f>'Master table catch from report'!I58</f>
        <v>0</v>
      </c>
      <c r="J58" s="1">
        <f>'Master table catch from report'!J58</f>
        <v>23.2</v>
      </c>
      <c r="K58" s="1">
        <f>SUM('Master table adjusted WCPO'!$E58:$J58)</f>
        <v>230.7</v>
      </c>
      <c r="L58" s="7">
        <f>'Master table catch from report'!L58</f>
        <v>2023</v>
      </c>
      <c r="M58" s="19">
        <f>'Master table catch from report'!M58</f>
        <v>46057</v>
      </c>
      <c r="N58" s="7" t="str">
        <f>'Master table catch from report'!N58</f>
        <v>Japan</v>
      </c>
      <c r="O58" s="7" t="str">
        <f>'Master table catch from report'!O58</f>
        <v>61 (Pacific, Northwest), 77 (Pacific, Eastern Central)</v>
      </c>
      <c r="P58" s="7">
        <f>'Master table catch from report'!P58</f>
        <v>44.143101999999999</v>
      </c>
      <c r="Q58" s="7">
        <f>'Master table catch from report'!Q58</f>
        <v>160</v>
      </c>
    </row>
    <row r="59" spans="1:17" x14ac:dyDescent="0.35">
      <c r="A59" s="4" t="s">
        <v>203</v>
      </c>
      <c r="B59" s="2" t="s">
        <v>202</v>
      </c>
      <c r="C59" s="7" t="str">
        <f>'Master table catch from report'!C59</f>
        <v>Certified</v>
      </c>
      <c r="D59" s="7" t="str">
        <f>'Master table catch from report'!D59</f>
        <v>Hooks And Lines - Longlines: Deep set longlines fishing vessels between 297and 657 metric tons using longline gear with approximately 3,500 hooks per set and 22-26 hooks between floats</v>
      </c>
      <c r="E59" s="1">
        <f>'Master table catch from report'!E59</f>
        <v>2465</v>
      </c>
      <c r="F59" s="1">
        <f>'Master table catch from report'!F59</f>
        <v>0</v>
      </c>
      <c r="G59" s="1">
        <f>'Master table catch from report'!G59</f>
        <v>557</v>
      </c>
      <c r="H59" s="1">
        <f>'Master table catch from report'!H59</f>
        <v>0</v>
      </c>
      <c r="I59" s="1">
        <f>'Master table catch from report'!I59</f>
        <v>0</v>
      </c>
      <c r="J59" s="1">
        <f>'Master table catch from report'!J59</f>
        <v>543</v>
      </c>
      <c r="K59" s="1">
        <f>SUM('Master table adjusted WCPO'!$E59:$J59)</f>
        <v>3565</v>
      </c>
      <c r="L59" s="7">
        <f>'Master table catch from report'!L59</f>
        <v>2022</v>
      </c>
      <c r="M59" s="19">
        <f>'Master table catch from report'!M59</f>
        <v>47251</v>
      </c>
      <c r="N59" s="7" t="str">
        <f>'Master table catch from report'!N59</f>
        <v>China</v>
      </c>
      <c r="O59" s="7" t="str">
        <f>'Master table catch from report'!O59</f>
        <v>71 (Pacific, Western Central), 77 (Pacific, Eastern Central)</v>
      </c>
      <c r="P59" s="7">
        <f>'Master table catch from report'!P59</f>
        <v>10</v>
      </c>
      <c r="Q59" s="7">
        <f>'Master table catch from report'!Q59</f>
        <v>180</v>
      </c>
    </row>
    <row r="60" spans="1:17" x14ac:dyDescent="0.35">
      <c r="A60" s="4" t="s">
        <v>128</v>
      </c>
      <c r="B60" s="2" t="s">
        <v>78</v>
      </c>
      <c r="C60" s="7" t="str">
        <f>'Master table catch from report'!C60</f>
        <v>Certified</v>
      </c>
      <c r="D60" s="7" t="str">
        <f>'Master table catch from report'!D60</f>
        <v>Hooks And Lines - Handlines and pole-lines (hand-operated)</v>
      </c>
      <c r="E60" s="1"/>
      <c r="F60" s="1"/>
      <c r="G60" s="1"/>
      <c r="H60" s="1"/>
      <c r="I60" s="1">
        <f>'Master table catch from report'!I60</f>
        <v>0</v>
      </c>
      <c r="J60" s="1">
        <v>2356</v>
      </c>
      <c r="K60" s="1">
        <f>SUM('Master table adjusted WCPO'!$E60:$J60)</f>
        <v>2356</v>
      </c>
      <c r="L60" s="7">
        <f>'Master table catch from report'!L60</f>
        <v>2023</v>
      </c>
      <c r="M60" s="19">
        <f>'Master table catch from report'!M60</f>
        <v>46313</v>
      </c>
      <c r="N60" s="7" t="str">
        <f>'Master table catch from report'!N60</f>
        <v>Philippines</v>
      </c>
      <c r="O60" s="7" t="str">
        <f>'Master table catch from report'!O60</f>
        <v>71 (Pacific, Western Central)</v>
      </c>
      <c r="P60" s="7">
        <f>'Master table catch from report'!P60</f>
        <v>13.4</v>
      </c>
      <c r="Q60" s="7">
        <f>'Master table catch from report'!Q60</f>
        <v>124</v>
      </c>
    </row>
    <row r="61" spans="1:17" x14ac:dyDescent="0.35">
      <c r="A61" s="3" t="s">
        <v>129</v>
      </c>
      <c r="B61" s="8" t="s">
        <v>198</v>
      </c>
      <c r="C61" s="7" t="str">
        <f>'Master table catch from report'!C61</f>
        <v>Certified</v>
      </c>
      <c r="D61" s="7" t="str">
        <f>'Master table catch from report'!D61</f>
        <v>Surrounding Nets - With purse lines (purse seines)</v>
      </c>
      <c r="E61" s="1"/>
      <c r="F61" s="1"/>
      <c r="G61" s="1"/>
      <c r="H61" s="1">
        <f>'Master table catch from report'!$H61*0.67</f>
        <v>676404.53</v>
      </c>
      <c r="I61" s="1">
        <f>'Master table catch from report'!I61</f>
        <v>0</v>
      </c>
      <c r="J61" s="1">
        <f>'Master table catch from report'!$J61*0.71</f>
        <v>234181.43</v>
      </c>
      <c r="K61" s="1">
        <f>SUM('Master table adjusted WCPO'!$E61:$J61)</f>
        <v>910585.96</v>
      </c>
      <c r="L61" s="7">
        <f>'Master table catch from report'!L61</f>
        <v>2021</v>
      </c>
      <c r="M61" s="19">
        <f>'Master table catch from report'!M61</f>
        <v>47412</v>
      </c>
      <c r="N61" s="7" t="str">
        <f>'Master table catch from report'!N61</f>
        <v>Marshall Islands</v>
      </c>
      <c r="O61" s="7" t="str">
        <f>'Master table catch from report'!O61</f>
        <v>71 (Pacific, Western Central), 77 (Pacific, Eastern Central)</v>
      </c>
      <c r="P61" s="7">
        <f>'Master table catch from report'!P61</f>
        <v>7.4958289999999996</v>
      </c>
      <c r="Q61" s="7">
        <f>'Master table catch from report'!Q61</f>
        <v>168.75618</v>
      </c>
    </row>
    <row r="62" spans="1:17" x14ac:dyDescent="0.35">
      <c r="A62" s="3" t="s">
        <v>130</v>
      </c>
      <c r="B62" s="8" t="s">
        <v>81</v>
      </c>
      <c r="C62" s="7" t="str">
        <f>'Master table catch from report'!C62</f>
        <v>Certified</v>
      </c>
      <c r="D62" s="7" t="str">
        <f>'Master table catch from report'!D62</f>
        <v>Surrounding Nets - With purse lines (purse seines)</v>
      </c>
      <c r="E62" s="1"/>
      <c r="F62" s="1"/>
      <c r="G62" s="1">
        <f>'Master table catch from report'!$G62*0.89</f>
        <v>1068</v>
      </c>
      <c r="H62" s="1">
        <f>'Master table catch from report'!$H62*0.89</f>
        <v>69420</v>
      </c>
      <c r="I62" s="1">
        <f>'Master table catch from report'!I62</f>
        <v>0</v>
      </c>
      <c r="J62" s="1">
        <f>'Master table catch from report'!$J62*0.89</f>
        <v>78320</v>
      </c>
      <c r="K62" s="1">
        <f>SUM('Master table adjusted WCPO'!$E62:$J62)</f>
        <v>148808</v>
      </c>
      <c r="L62" s="7">
        <f>'Master table catch from report'!L62</f>
        <v>2023</v>
      </c>
      <c r="M62" s="19">
        <f>'Master table catch from report'!M62</f>
        <v>45971</v>
      </c>
      <c r="N62" s="7" t="str">
        <f>'Master table catch from report'!N62</f>
        <v>Papua New Guinea</v>
      </c>
      <c r="O62" s="7" t="str">
        <f>'Master table catch from report'!O62</f>
        <v>71 (Pacific, Western Central)</v>
      </c>
      <c r="P62" s="7">
        <f>'Master table catch from report'!P62</f>
        <v>7.4891666700000004</v>
      </c>
      <c r="Q62" s="7">
        <f>'Master table catch from report'!Q62</f>
        <v>152.86305555999999</v>
      </c>
    </row>
    <row r="63" spans="1:17" x14ac:dyDescent="0.35">
      <c r="A63" s="4" t="s">
        <v>214</v>
      </c>
      <c r="B63" s="2" t="s">
        <v>213</v>
      </c>
      <c r="C63" s="7" t="str">
        <f>'Master table catch from report'!C63</f>
        <v>Certified</v>
      </c>
      <c r="D63" s="7" t="str">
        <f>'Master table catch from report'!D63</f>
        <v>Hooks And Lines - Longlines</v>
      </c>
      <c r="E63" s="1">
        <f>'Master table catch from report'!E63</f>
        <v>437.13</v>
      </c>
      <c r="F63" s="1">
        <f>'Master table catch from report'!F63</f>
        <v>0</v>
      </c>
      <c r="G63" s="1">
        <f>'Master table catch from report'!G63</f>
        <v>4716.1100000000006</v>
      </c>
      <c r="H63" s="1">
        <f>'Master table catch from report'!H63</f>
        <v>0</v>
      </c>
      <c r="I63" s="1">
        <f>'Master table catch from report'!I63</f>
        <v>0</v>
      </c>
      <c r="J63" s="1">
        <f>'Master table catch from report'!J63</f>
        <v>3166.81</v>
      </c>
      <c r="K63" s="1">
        <f>SUM('Master table adjusted WCPO'!$E63:$J63)</f>
        <v>8320.0500000000011</v>
      </c>
      <c r="L63" s="7">
        <f>'Master table catch from report'!L63</f>
        <v>2022</v>
      </c>
      <c r="M63" s="19" t="str">
        <f>'Master table catch from report'!M63</f>
        <v>N/A</v>
      </c>
      <c r="N63" s="7" t="str">
        <f>'Master table catch from report'!N63</f>
        <v>Korea, Republic of</v>
      </c>
      <c r="O63" s="7" t="str">
        <f>'Master table catch from report'!O63</f>
        <v>71 (Pacific, Western Central)</v>
      </c>
      <c r="P63" s="7">
        <f>'Master table catch from report'!P63</f>
        <v>10</v>
      </c>
      <c r="Q63" s="7">
        <f>'Master table catch from report'!Q63</f>
        <v>180</v>
      </c>
    </row>
    <row r="64" spans="1:17" x14ac:dyDescent="0.35">
      <c r="A64" s="4" t="s">
        <v>131</v>
      </c>
      <c r="B64" s="2" t="s">
        <v>83</v>
      </c>
      <c r="C64" s="7" t="str">
        <f>'Master table catch from report'!C64</f>
        <v>Certified</v>
      </c>
      <c r="D64" s="7" t="str">
        <f>'Master table catch from report'!D64</f>
        <v>Hooks And Lines - Longlines: Pelagic longline, handline and pole-lines are also used</v>
      </c>
      <c r="E64" s="1">
        <f>'Master table catch from report'!E64</f>
        <v>0</v>
      </c>
      <c r="F64" s="1">
        <f>'Master table catch from report'!F64</f>
        <v>527</v>
      </c>
      <c r="G64" s="1">
        <f>'Master table catch from report'!G64</f>
        <v>0</v>
      </c>
      <c r="H64" s="1">
        <f>'Master table catch from report'!H64</f>
        <v>0</v>
      </c>
      <c r="I64" s="1">
        <f>'Master table catch from report'!I64</f>
        <v>0</v>
      </c>
      <c r="J64" s="1">
        <f>'Master table catch from report'!J64</f>
        <v>0</v>
      </c>
      <c r="K64" s="1">
        <f>SUM('Master table adjusted WCPO'!$E64:$J64)</f>
        <v>527</v>
      </c>
      <c r="L64" s="7">
        <f>'Master table catch from report'!L64</f>
        <v>2023</v>
      </c>
      <c r="M64" s="19">
        <f>'Master table catch from report'!M64</f>
        <v>45952</v>
      </c>
      <c r="N64" s="7" t="str">
        <f>'Master table catch from report'!N64</f>
        <v>France</v>
      </c>
      <c r="O64" s="7" t="str">
        <f>'Master table catch from report'!O64</f>
        <v>37 (Mediterranean and Black Sea)</v>
      </c>
      <c r="P64" s="7">
        <f>'Master table catch from report'!P64</f>
        <v>41.2</v>
      </c>
      <c r="Q64" s="7">
        <f>'Master table catch from report'!Q64</f>
        <v>8</v>
      </c>
    </row>
    <row r="65" spans="1:17" x14ac:dyDescent="0.35">
      <c r="A65" s="4" t="s">
        <v>145</v>
      </c>
      <c r="B65" s="2" t="s">
        <v>102</v>
      </c>
      <c r="C65" s="7" t="str">
        <f>'Master table catch from report'!C65</f>
        <v>Certified</v>
      </c>
      <c r="D65" s="7" t="str">
        <f>'Master table catch from report'!D65</f>
        <v>Surrounding Nets - With purse lines (purse seines)</v>
      </c>
      <c r="E65" s="1">
        <f>'Master table catch from report'!E65</f>
        <v>0</v>
      </c>
      <c r="F65" s="1">
        <f>'Master table catch from report'!F65</f>
        <v>0</v>
      </c>
      <c r="G65" s="1">
        <f>'Master table catch from report'!G65</f>
        <v>0</v>
      </c>
      <c r="H65" s="1">
        <f>'Master table catch from report'!H65</f>
        <v>53178</v>
      </c>
      <c r="I65" s="1">
        <f>'Master table catch from report'!I65</f>
        <v>0</v>
      </c>
      <c r="J65" s="1">
        <f>'Master table catch from report'!J65</f>
        <v>8305</v>
      </c>
      <c r="K65" s="1">
        <f>SUM('Master table adjusted WCPO'!$E65:$J65)</f>
        <v>61483</v>
      </c>
      <c r="L65" s="7">
        <f>'Master table catch from report'!L65</f>
        <v>2024</v>
      </c>
      <c r="M65" s="19">
        <f>'Master table catch from report'!M65</f>
        <v>46574</v>
      </c>
      <c r="N65" s="7" t="str">
        <f>'Master table catch from report'!N65</f>
        <v>Japan</v>
      </c>
      <c r="O65" s="7" t="str">
        <f>'Master table catch from report'!O65</f>
        <v>71 (Pacific, Western Central)</v>
      </c>
      <c r="P65" s="7">
        <f>'Master table catch from report'!P65</f>
        <v>7.9480560000000002</v>
      </c>
      <c r="Q65" s="7">
        <f>'Master table catch from report'!Q65</f>
        <v>158.565</v>
      </c>
    </row>
    <row r="66" spans="1:17" x14ac:dyDescent="0.35">
      <c r="A66" s="4" t="s">
        <v>185</v>
      </c>
      <c r="B66" s="2" t="s">
        <v>187</v>
      </c>
      <c r="C66" s="7" t="str">
        <f>'Master table catch from report'!C66</f>
        <v>Certified</v>
      </c>
      <c r="D66" s="7" t="str">
        <f>'Master table catch from report'!D66</f>
        <v>Hooks And Lines - Longlines</v>
      </c>
      <c r="E66" s="1">
        <f>'Master table catch from report'!E66</f>
        <v>103.66</v>
      </c>
      <c r="F66" s="1">
        <f>'Master table catch from report'!F66</f>
        <v>0</v>
      </c>
      <c r="G66" s="1">
        <f>'Master table catch from report'!G66</f>
        <v>565.63</v>
      </c>
      <c r="H66" s="1">
        <f>'Master table catch from report'!H66</f>
        <v>0</v>
      </c>
      <c r="I66" s="1">
        <f>'Master table catch from report'!I66</f>
        <v>0</v>
      </c>
      <c r="J66" s="1">
        <f>'Master table catch from report'!J66</f>
        <v>903.61500000000001</v>
      </c>
      <c r="K66" s="1">
        <f>SUM('Master table adjusted WCPO'!$E66:$J66)</f>
        <v>1572.905</v>
      </c>
      <c r="L66" s="7">
        <f>'Master table catch from report'!L66</f>
        <v>2021</v>
      </c>
      <c r="M66" s="19" t="str">
        <f>'Master table catch from report'!M66</f>
        <v>N/A</v>
      </c>
      <c r="N66" s="7" t="str">
        <f>'Master table catch from report'!N66</f>
        <v>South Korea</v>
      </c>
      <c r="O66" s="7" t="str">
        <f>'Master table catch from report'!O66</f>
        <v>71 (Pacific, Western Central), 77 (Pacific, Eastern Central)</v>
      </c>
      <c r="P66" s="7">
        <f>'Master table catch from report'!P66</f>
        <v>19</v>
      </c>
      <c r="Q66" s="7">
        <f>'Master table catch from report'!Q66</f>
        <v>178</v>
      </c>
    </row>
    <row r="67" spans="1:17" x14ac:dyDescent="0.35">
      <c r="A67" s="4" t="s">
        <v>188</v>
      </c>
      <c r="B67" s="2" t="s">
        <v>184</v>
      </c>
      <c r="C67" s="7" t="str">
        <f>'Master table catch from report'!C67</f>
        <v>Certified</v>
      </c>
      <c r="D67" s="7" t="str">
        <f>'Master table catch from report'!D67</f>
        <v>Surrounding Nets - With purse lines (purse seines): Purse seine setting on FADs and unassociated schools</v>
      </c>
      <c r="E67" s="1">
        <f>'Master table catch from report'!E67</f>
        <v>0</v>
      </c>
      <c r="F67" s="1">
        <f>'Master table catch from report'!F67</f>
        <v>0</v>
      </c>
      <c r="G67" s="1">
        <f>'Master table catch from report'!G67</f>
        <v>882</v>
      </c>
      <c r="H67" s="1">
        <f>'Master table catch from report'!H67</f>
        <v>45843</v>
      </c>
      <c r="I67" s="1">
        <f>'Master table catch from report'!I67</f>
        <v>0</v>
      </c>
      <c r="J67" s="1">
        <f>'Master table catch from report'!J67</f>
        <v>9751</v>
      </c>
      <c r="K67" s="1">
        <f>SUM('Master table adjusted WCPO'!$E67:$J67)</f>
        <v>56476</v>
      </c>
      <c r="L67" s="7">
        <f>'Master table catch from report'!L67</f>
        <v>2020</v>
      </c>
      <c r="M67" s="19" t="str">
        <f>'Master table catch from report'!M67</f>
        <v>N/A</v>
      </c>
      <c r="N67" s="7" t="str">
        <f>'Master table catch from report'!N67</f>
        <v>South Korea</v>
      </c>
      <c r="O67" s="7" t="str">
        <f>'Master table catch from report'!O67</f>
        <v>71 (Pacific, Western Central)</v>
      </c>
      <c r="P67" s="7">
        <f>'Master table catch from report'!P67</f>
        <v>19</v>
      </c>
      <c r="Q67" s="7">
        <f>'Master table catch from report'!Q67</f>
        <v>178</v>
      </c>
    </row>
    <row r="68" spans="1:17" x14ac:dyDescent="0.35">
      <c r="A68" s="3" t="s">
        <v>124</v>
      </c>
      <c r="B68" s="8" t="s">
        <v>67</v>
      </c>
      <c r="C68" s="7" t="str">
        <f>'Master table catch from report'!C68</f>
        <v>Certified</v>
      </c>
      <c r="D68" s="7" t="str">
        <f>'Master table catch from report'!D68</f>
        <v>Hooks And Lines - Handlines and pole-lines (hand-operated), Surrounding Nets - With purse lines (purse seines)</v>
      </c>
      <c r="E68" s="1">
        <f>'Master table catch from report'!E68</f>
        <v>0</v>
      </c>
      <c r="F68" s="1">
        <f>'Master table catch from report'!F68</f>
        <v>0</v>
      </c>
      <c r="G68" s="1">
        <f>'Master table catch from report'!G68</f>
        <v>0</v>
      </c>
      <c r="H68" s="1">
        <f>'Master table catch from report'!H68</f>
        <v>11576.2</v>
      </c>
      <c r="I68" s="1">
        <f>'Master table catch from report'!I68</f>
        <v>0</v>
      </c>
      <c r="J68" s="1">
        <f>'Master table catch from report'!J68</f>
        <v>5848.3</v>
      </c>
      <c r="K68" s="1">
        <f>SUM('Master table adjusted WCPO'!$E68:$J68)</f>
        <v>17424.5</v>
      </c>
      <c r="L68" s="7">
        <f>'Master table catch from report'!L68</f>
        <v>2023</v>
      </c>
      <c r="M68" s="19">
        <f>'Master table catch from report'!M68</f>
        <v>46181</v>
      </c>
      <c r="N68" s="7" t="str">
        <f>'Master table catch from report'!N68</f>
        <v>Solomon Islands</v>
      </c>
      <c r="O68" s="7" t="str">
        <f>'Master table catch from report'!O68</f>
        <v>71 (Pacific, Western Central)</v>
      </c>
      <c r="P68" s="7">
        <f>'Master table catch from report'!P68</f>
        <v>-8.1897407619999996</v>
      </c>
      <c r="Q68" s="7">
        <f>'Master table catch from report'!Q68</f>
        <v>158.42286088</v>
      </c>
    </row>
    <row r="69" spans="1:17" x14ac:dyDescent="0.35">
      <c r="A69" s="4" t="s">
        <v>197</v>
      </c>
      <c r="B69" s="2" t="s">
        <v>196</v>
      </c>
      <c r="C69" s="7" t="str">
        <f>'Master table catch from report'!C69</f>
        <v>Certified</v>
      </c>
      <c r="D69" s="7" t="str">
        <f>'Master table catch from report'!D69</f>
        <v>Hooks And Lines - Handlines and pole-lines (hand-operated)</v>
      </c>
      <c r="E69" s="1">
        <f>'Master table catch from report'!E69</f>
        <v>2485</v>
      </c>
      <c r="F69" s="1">
        <f>'Master table catch from report'!F69</f>
        <v>0</v>
      </c>
      <c r="G69" s="1">
        <f>'Master table catch from report'!G69</f>
        <v>0</v>
      </c>
      <c r="H69" s="1">
        <f>'Master table catch from report'!H69</f>
        <v>0</v>
      </c>
      <c r="I69" s="1">
        <f>'Master table catch from report'!I69</f>
        <v>0</v>
      </c>
      <c r="J69" s="1">
        <f>'Master table catch from report'!J69</f>
        <v>0</v>
      </c>
      <c r="K69" s="1">
        <f>SUM('Master table adjusted WCPO'!$E69:$J69)</f>
        <v>2485</v>
      </c>
      <c r="L69" s="7">
        <f>'Master table catch from report'!L69</f>
        <v>2022</v>
      </c>
      <c r="M69" s="19" t="str">
        <f>'Master table catch from report'!M69</f>
        <v>N/A</v>
      </c>
      <c r="N69" s="7" t="str">
        <f>'Master table catch from report'!N69</f>
        <v>South Africa</v>
      </c>
      <c r="O69" s="7" t="str">
        <f>'Master table catch from report'!O69</f>
        <v>47 (Atlantic, Southeast)</v>
      </c>
      <c r="P69" s="7">
        <f>'Master table catch from report'!P69</f>
        <v>-33.908931883664003</v>
      </c>
      <c r="Q69" s="7">
        <f>'Master table catch from report'!Q69</f>
        <v>18.447633807338001</v>
      </c>
    </row>
    <row r="70" spans="1:17" x14ac:dyDescent="0.35">
      <c r="A70" s="4" t="s">
        <v>232</v>
      </c>
      <c r="B70" s="2" t="s">
        <v>231</v>
      </c>
      <c r="C70" s="7" t="str">
        <f>'Master table catch from report'!C70</f>
        <v>Certified</v>
      </c>
      <c r="D70" s="7" t="str">
        <f>'Master table catch from report'!D70</f>
        <v>Hooks And Lines - Handlines and pole-lines (hand-operated)</v>
      </c>
      <c r="E70" s="1">
        <f>'Master table catch from report'!E70</f>
        <v>2922</v>
      </c>
      <c r="F70" s="1">
        <f>'Master table catch from report'!F70</f>
        <v>0</v>
      </c>
      <c r="G70" s="1">
        <f>'Master table catch from report'!G70</f>
        <v>0</v>
      </c>
      <c r="H70" s="1">
        <f>'Master table catch from report'!H70</f>
        <v>0</v>
      </c>
      <c r="I70" s="1">
        <f>'Master table catch from report'!I70</f>
        <v>0</v>
      </c>
      <c r="J70" s="1">
        <f>'Master table catch from report'!J70</f>
        <v>0</v>
      </c>
      <c r="K70" s="1">
        <f>SUM('Master table adjusted WCPO'!$E70:$J70)</f>
        <v>2922</v>
      </c>
      <c r="L70" s="7">
        <f>'Master table catch from report'!L70</f>
        <v>2022</v>
      </c>
      <c r="M70" s="19" t="str">
        <f>'Master table catch from report'!M70</f>
        <v>N/A</v>
      </c>
      <c r="N70" s="7" t="str">
        <f>'Master table catch from report'!N70</f>
        <v>South Africa</v>
      </c>
      <c r="O70" s="7" t="str">
        <f>'Master table catch from report'!O70</f>
        <v>47 (Atlantic, Southeast)</v>
      </c>
      <c r="P70" s="7" t="str">
        <f>'Master table catch from report'!P70</f>
        <v>?</v>
      </c>
      <c r="Q70" s="7" t="str">
        <f>'Master table catch from report'!Q70</f>
        <v>?</v>
      </c>
    </row>
    <row r="71" spans="1:17" x14ac:dyDescent="0.35">
      <c r="A71" s="3" t="s">
        <v>116</v>
      </c>
      <c r="B71" s="8" t="s">
        <v>44</v>
      </c>
      <c r="C71" s="7" t="str">
        <f>'Master table catch from report'!C71</f>
        <v>Certified</v>
      </c>
      <c r="D71" s="7" t="str">
        <f>'Master table catch from report'!D71</f>
        <v>Hooks And Lines - Longlines: Pelagic longline</v>
      </c>
      <c r="E71" s="1">
        <f>'Master table catch from report'!E71</f>
        <v>156.44</v>
      </c>
      <c r="F71" s="1">
        <f>'Master table catch from report'!F71</f>
        <v>0</v>
      </c>
      <c r="G71" s="1">
        <f>'Master table catch from report'!G71</f>
        <v>837.12</v>
      </c>
      <c r="H71" s="1">
        <f>'Master table catch from report'!H71</f>
        <v>0</v>
      </c>
      <c r="I71" s="1">
        <f>'Master table catch from report'!I71</f>
        <v>0</v>
      </c>
      <c r="J71" s="1">
        <f>'Master table catch from report'!J71</f>
        <v>1038.8499999999999</v>
      </c>
      <c r="K71" s="1">
        <f>SUM('Master table adjusted WCPO'!$E71:$J71)</f>
        <v>2032.4099999999999</v>
      </c>
      <c r="L71" s="7">
        <f>'Master table catch from report'!L71</f>
        <v>2022</v>
      </c>
      <c r="M71" s="19">
        <f>'Master table catch from report'!M71</f>
        <v>45541</v>
      </c>
      <c r="N71" s="7" t="str">
        <f>'Master table catch from report'!N71</f>
        <v>China</v>
      </c>
      <c r="O71" s="7" t="str">
        <f>'Master table catch from report'!O71</f>
        <v>71 (Pacific, Western Central)</v>
      </c>
      <c r="P71" s="7">
        <f>'Master table catch from report'!P71</f>
        <v>7.5</v>
      </c>
      <c r="Q71" s="7">
        <f>'Master table catch from report'!Q71</f>
        <v>150.80000000000001</v>
      </c>
    </row>
    <row r="72" spans="1:17" x14ac:dyDescent="0.35">
      <c r="A72" s="3" t="s">
        <v>116</v>
      </c>
      <c r="B72" s="8" t="s">
        <v>44</v>
      </c>
      <c r="C72" s="7" t="str">
        <f>'Master table catch from report'!C72</f>
        <v>In Assessment</v>
      </c>
      <c r="D72" s="7" t="str">
        <f>'Master table catch from report'!D72</f>
        <v>Hooks And Lines - Longlines: Pelagic longline</v>
      </c>
      <c r="E72" s="1">
        <f>'Master table catch from report'!E72</f>
        <v>485.7</v>
      </c>
      <c r="F72" s="1">
        <f>'Master table catch from report'!F72</f>
        <v>0</v>
      </c>
      <c r="G72" s="1">
        <f>'Master table catch from report'!G72</f>
        <v>925.72</v>
      </c>
      <c r="H72" s="1">
        <f>'Master table catch from report'!H72</f>
        <v>0</v>
      </c>
      <c r="I72" s="1">
        <f>'Master table catch from report'!I72</f>
        <v>0</v>
      </c>
      <c r="J72" s="1">
        <f>'Master table catch from report'!J72</f>
        <v>1569.7599999999998</v>
      </c>
      <c r="K72" s="1">
        <f>SUM('Master table adjusted WCPO'!$E72:$J72)</f>
        <v>2981.18</v>
      </c>
      <c r="L72" s="7">
        <f>'Master table catch from report'!L72</f>
        <v>2021</v>
      </c>
      <c r="M72" s="19">
        <f>'Master table catch from report'!M72</f>
        <v>45541</v>
      </c>
      <c r="N72" s="7" t="str">
        <f>'Master table catch from report'!N72</f>
        <v>China</v>
      </c>
      <c r="O72" s="7" t="str">
        <f>'Master table catch from report'!O72</f>
        <v>71 (Pacific, Western Central)</v>
      </c>
      <c r="P72" s="7">
        <f>'Master table catch from report'!P72</f>
        <v>7.5</v>
      </c>
      <c r="Q72" s="7">
        <f>'Master table catch from report'!Q72</f>
        <v>150.80000000000001</v>
      </c>
    </row>
    <row r="73" spans="1:17" x14ac:dyDescent="0.35">
      <c r="A73" s="15" t="s">
        <v>132</v>
      </c>
      <c r="B73" s="16" t="s">
        <v>250</v>
      </c>
      <c r="C73" s="7" t="str">
        <f>'Master table catch from report'!C73</f>
        <v>Certified</v>
      </c>
      <c r="D73" s="7" t="str">
        <f>'Master table catch from report'!D73</f>
        <v>Hooks And Lines - Longlines</v>
      </c>
      <c r="E73" s="1">
        <f>'Master table catch from report'!E73</f>
        <v>146</v>
      </c>
      <c r="F73" s="1">
        <f>'Master table catch from report'!F73</f>
        <v>0</v>
      </c>
      <c r="G73" s="1">
        <f>'Master table catch from report'!G73</f>
        <v>1899</v>
      </c>
      <c r="H73" s="1">
        <f>'Master table catch from report'!H73</f>
        <v>0</v>
      </c>
      <c r="I73" s="1">
        <f>'Master table catch from report'!I73</f>
        <v>0</v>
      </c>
      <c r="J73" s="1">
        <f>'Master table catch from report'!J73</f>
        <v>904</v>
      </c>
      <c r="K73" s="1">
        <f>SUM('Master table adjusted WCPO'!$E73:$J73)</f>
        <v>2949</v>
      </c>
      <c r="L73" s="7">
        <f>'Master table catch from report'!L73</f>
        <v>2023</v>
      </c>
      <c r="M73" s="19">
        <f>'Master table catch from report'!M73</f>
        <v>45753</v>
      </c>
      <c r="N73" s="7" t="str">
        <f>'Master table catch from report'!N73</f>
        <v>Marshall Islands</v>
      </c>
      <c r="O73" s="7" t="str">
        <f>'Master table catch from report'!O73</f>
        <v>71 (Pacific, Western Central)</v>
      </c>
      <c r="P73" s="7">
        <f>'Master table catch from report'!P73</f>
        <v>6.7</v>
      </c>
      <c r="Q73" s="7">
        <f>'Master table catch from report'!Q73</f>
        <v>171</v>
      </c>
    </row>
    <row r="74" spans="1:17" x14ac:dyDescent="0.35">
      <c r="A74" s="3" t="s">
        <v>133</v>
      </c>
      <c r="B74" s="8" t="s">
        <v>86</v>
      </c>
      <c r="C74" s="7" t="str">
        <f>'Master table catch from report'!C74</f>
        <v>Certified</v>
      </c>
      <c r="D74" s="7" t="str">
        <f>'Master table catch from report'!D74</f>
        <v>Hooks And Lines - Longlines</v>
      </c>
      <c r="E74" s="1">
        <f>'Master table catch from report'!E74</f>
        <v>2001</v>
      </c>
      <c r="F74" s="1">
        <f>'Master table catch from report'!F74</f>
        <v>0</v>
      </c>
      <c r="G74" s="1">
        <f>'Master table catch from report'!G74</f>
        <v>117</v>
      </c>
      <c r="H74" s="1">
        <f>'Master table catch from report'!H74</f>
        <v>0</v>
      </c>
      <c r="I74" s="1">
        <f>'Master table catch from report'!I74</f>
        <v>0</v>
      </c>
      <c r="J74" s="1">
        <f>'Master table catch from report'!J74</f>
        <v>500</v>
      </c>
      <c r="K74" s="1">
        <f>SUM('Master table adjusted WCPO'!$E74:$J74)</f>
        <v>2618</v>
      </c>
      <c r="L74" s="7">
        <f>'Master table catch from report'!L74</f>
        <v>2023</v>
      </c>
      <c r="M74" s="19">
        <f>'Master table catch from report'!M74</f>
        <v>46064</v>
      </c>
      <c r="N74" s="7" t="str">
        <f>'Master table catch from report'!N74</f>
        <v>Cook Islands</v>
      </c>
      <c r="O74" s="7" t="str">
        <f>'Master table catch from report'!O74</f>
        <v>77 (Pacific, Eastern Central), 81 (Pacific, Southwest)</v>
      </c>
      <c r="P74" s="7">
        <f>'Master table catch from report'!P74</f>
        <v>-24.206890000000001</v>
      </c>
      <c r="Q74" s="7">
        <f>'Master table catch from report'!Q74</f>
        <v>-159.609375</v>
      </c>
    </row>
    <row r="75" spans="1:17" x14ac:dyDescent="0.35">
      <c r="A75" s="4" t="s">
        <v>210</v>
      </c>
      <c r="B75" s="2" t="s">
        <v>209</v>
      </c>
      <c r="C75" s="7" t="str">
        <f>'Master table catch from report'!C75</f>
        <v>Certified</v>
      </c>
      <c r="D75" s="7" t="str">
        <f>'Master table catch from report'!D75</f>
        <v>Surrounding Nets - With purse lines (purse seines)</v>
      </c>
      <c r="E75" s="1">
        <f>'Master table catch from report'!E75</f>
        <v>0</v>
      </c>
      <c r="F75" s="1">
        <f>'Master table catch from report'!F75</f>
        <v>0</v>
      </c>
      <c r="G75" s="1">
        <f>'Master table catch from report'!G75</f>
        <v>0</v>
      </c>
      <c r="H75" s="1">
        <f>'Master table catch from report'!H75</f>
        <v>13495</v>
      </c>
      <c r="I75" s="1">
        <f>'Master table catch from report'!I75</f>
        <v>0</v>
      </c>
      <c r="J75" s="1">
        <f>'Master table catch from report'!J75</f>
        <v>3210</v>
      </c>
      <c r="K75" s="1">
        <f>SUM('Master table adjusted WCPO'!$E75:$J75)</f>
        <v>16705</v>
      </c>
      <c r="L75" s="7">
        <f>'Master table catch from report'!L75</f>
        <v>2022</v>
      </c>
      <c r="M75" s="19" t="str">
        <f>'Master table catch from report'!M75</f>
        <v>N/A</v>
      </c>
      <c r="N75" s="7" t="str">
        <f>'Master table catch from report'!N75</f>
        <v>Japan</v>
      </c>
      <c r="O75" s="7" t="str">
        <f>'Master table catch from report'!O75</f>
        <v>71 (Pacific, Western Central)</v>
      </c>
      <c r="P75" s="7">
        <f>'Master table catch from report'!P75</f>
        <v>-1.5192000000000001</v>
      </c>
      <c r="Q75" s="7">
        <f>'Master table catch from report'!Q75</f>
        <v>155.04040000000001</v>
      </c>
    </row>
    <row r="76" spans="1:17" x14ac:dyDescent="0.35">
      <c r="A76" s="4" t="s">
        <v>143</v>
      </c>
      <c r="B76" s="2" t="s">
        <v>88</v>
      </c>
      <c r="C76" s="7" t="str">
        <f>'Master table catch from report'!C76</f>
        <v>Certified</v>
      </c>
      <c r="D76" s="7" t="str">
        <f>'Master table catch from report'!D76</f>
        <v>Hooks And Lines - Drifting longlines</v>
      </c>
      <c r="E76" s="1">
        <f>'Master table catch from report'!E76</f>
        <v>11251</v>
      </c>
      <c r="F76" s="1">
        <f>'Master table catch from report'!F76</f>
        <v>0</v>
      </c>
      <c r="G76" s="1">
        <f>'Master table catch from report'!G76</f>
        <v>0</v>
      </c>
      <c r="H76" s="1">
        <f>'Master table catch from report'!H76</f>
        <v>0</v>
      </c>
      <c r="I76" s="1">
        <f>'Master table catch from report'!I76</f>
        <v>0</v>
      </c>
      <c r="J76" s="1">
        <f>'Master table catch from report'!J76</f>
        <v>0</v>
      </c>
      <c r="K76" s="1">
        <f>SUM('Master table adjusted WCPO'!$E76:$J76)</f>
        <v>11251</v>
      </c>
      <c r="L76" s="7">
        <f>'Master table catch from report'!L76</f>
        <v>2023</v>
      </c>
      <c r="M76" s="19">
        <f>'Master table catch from report'!M76</f>
        <v>46568</v>
      </c>
      <c r="N76" s="7" t="str">
        <f>'Master table catch from report'!N76</f>
        <v>China</v>
      </c>
      <c r="O76" s="7" t="str">
        <f>'Master table catch from report'!O76</f>
        <v>31 (Atlantic, Western Central), 34 (Atlantic, Eastern Central), 41 (Atlantic, Southwest), 47 (Atlantic, Southeast)</v>
      </c>
      <c r="P76" s="7">
        <f>'Master table catch from report'!P76</f>
        <v>-36</v>
      </c>
      <c r="Q76" s="7">
        <f>'Master table catch from report'!Q76</f>
        <v>18</v>
      </c>
    </row>
    <row r="77" spans="1:17" x14ac:dyDescent="0.35">
      <c r="A77" s="4" t="s">
        <v>147</v>
      </c>
      <c r="B77" s="2" t="s">
        <v>148</v>
      </c>
      <c r="C77" s="7" t="str">
        <f>'Master table catch from report'!C77</f>
        <v>Certified</v>
      </c>
      <c r="D77" s="7" t="str">
        <f>'Master table catch from report'!D77</f>
        <v>Hooks And Lines - Longlines</v>
      </c>
      <c r="E77" s="1">
        <f>'Master table catch from report'!E77</f>
        <v>11078</v>
      </c>
      <c r="F77" s="1">
        <f>'Master table catch from report'!F77</f>
        <v>0</v>
      </c>
      <c r="G77" s="1">
        <f>'Master table catch from report'!G77</f>
        <v>1197</v>
      </c>
      <c r="H77" s="1">
        <f>'Master table catch from report'!H77</f>
        <v>132</v>
      </c>
      <c r="I77" s="1">
        <f>'Master table catch from report'!I77</f>
        <v>0</v>
      </c>
      <c r="J77" s="1">
        <f>'Master table catch from report'!J77</f>
        <v>3433</v>
      </c>
      <c r="K77" s="1">
        <f>SUM('Master table adjusted WCPO'!$E77:$J77)</f>
        <v>15840</v>
      </c>
      <c r="L77" s="7">
        <f>'Master table catch from report'!L77</f>
        <v>2020</v>
      </c>
      <c r="M77" s="19" t="str">
        <f>'Master table catch from report'!M77</f>
        <v>N/A</v>
      </c>
      <c r="N77" s="7" t="str">
        <f>'Master table catch from report'!N77</f>
        <v>Singapore</v>
      </c>
      <c r="O77" s="7" t="str">
        <f>'Master table catch from report'!O77</f>
        <v>71 (Pacific, Western Central), 81 (Pacific, Southwest), 87 (Pacific, Southeast)</v>
      </c>
      <c r="P77" s="7">
        <f>'Master table catch from report'!P77</f>
        <v>8.1580504120999997</v>
      </c>
      <c r="Q77" s="7">
        <f>'Master table catch from report'!Q77</f>
        <v>-176.1902657</v>
      </c>
    </row>
    <row r="78" spans="1:17" x14ac:dyDescent="0.35">
      <c r="A78" s="3" t="s">
        <v>134</v>
      </c>
      <c r="B78" s="8" t="s">
        <v>233</v>
      </c>
      <c r="C78" s="7" t="str">
        <f>'Master table catch from report'!C78</f>
        <v>Certified</v>
      </c>
      <c r="D78" s="7" t="str">
        <f>'Master table catch from report'!D78</f>
        <v>Surrounding Nets - With purse lines (purse seines)</v>
      </c>
      <c r="E78" s="1"/>
      <c r="F78" s="1"/>
      <c r="G78" s="1">
        <f>'Master table catch from report'!$G78*0.535714384556839</f>
        <v>7742.6853571438387</v>
      </c>
      <c r="H78" s="1">
        <f>'Master table catch from report'!$H78*0.54</f>
        <v>85949.1</v>
      </c>
      <c r="I78" s="1">
        <f>'Master table catch from report'!I78</f>
        <v>0</v>
      </c>
      <c r="J78" s="1">
        <f>'Master table catch from report'!$J78*0.54</f>
        <v>14824.080000000002</v>
      </c>
      <c r="K78" s="1">
        <f>SUM('Master table adjusted WCPO'!$E78:$J78)</f>
        <v>108515.86535714385</v>
      </c>
      <c r="L78" s="7">
        <f>'Master table catch from report'!L78</f>
        <v>2021</v>
      </c>
      <c r="M78" s="19">
        <f>'Master table catch from report'!M78</f>
        <v>46265</v>
      </c>
      <c r="N78" s="7" t="str">
        <f>'Master table catch from report'!N78</f>
        <v>United States of America</v>
      </c>
      <c r="O78" s="7" t="str">
        <f>'Master table catch from report'!O78</f>
        <v>71 (Pacific, Western Central), 77 (Pacific, Eastern Central)</v>
      </c>
      <c r="P78" s="7">
        <f>'Master table catch from report'!P78</f>
        <v>-11.95334779</v>
      </c>
      <c r="Q78" s="7">
        <f>'Master table catch from report'!Q78</f>
        <v>-168.5742127</v>
      </c>
    </row>
    <row r="79" spans="1:17" x14ac:dyDescent="0.35">
      <c r="A79" s="4" t="s">
        <v>160</v>
      </c>
      <c r="B79" s="2" t="s">
        <v>161</v>
      </c>
      <c r="C79" s="7" t="str">
        <f>'Master table catch from report'!C79</f>
        <v>Certified</v>
      </c>
      <c r="D79" s="7" t="str">
        <f>'Master table catch from report'!D79</f>
        <v>Surrounding Nets - With purse lines (purse seines)</v>
      </c>
      <c r="E79" s="1">
        <f>'Master table catch from report'!E79</f>
        <v>0</v>
      </c>
      <c r="F79" s="1">
        <f>'Master table catch from report'!F79</f>
        <v>0</v>
      </c>
      <c r="G79" s="1">
        <f>'Master table catch from report'!G79</f>
        <v>0</v>
      </c>
      <c r="H79" s="1">
        <f>'Master table catch from report'!H79</f>
        <v>86144</v>
      </c>
      <c r="I79" s="1">
        <f>'Master table catch from report'!I79</f>
        <v>0</v>
      </c>
      <c r="J79" s="1">
        <f>'Master table catch from report'!J79</f>
        <v>13876</v>
      </c>
      <c r="K79" s="1">
        <f>SUM('Master table adjusted WCPO'!$E79:$J79)</f>
        <v>100020</v>
      </c>
      <c r="L79" s="7">
        <f>'Master table catch from report'!L79</f>
        <v>2023</v>
      </c>
      <c r="M79" s="19" t="str">
        <f>'Master table catch from report'!M79</f>
        <v>N/A</v>
      </c>
      <c r="N79" s="7" t="str">
        <f>'Master table catch from report'!N79</f>
        <v>Japan</v>
      </c>
      <c r="O79" s="7" t="str">
        <f>'Master table catch from report'!O79</f>
        <v>61 (Pacific, Northwest), 71 (Pacific, Western Central)</v>
      </c>
      <c r="P79" s="7">
        <f>'Master table catch from report'!P79</f>
        <v>21.102149000000001</v>
      </c>
      <c r="Q79" s="7">
        <f>'Master table catch from report'!Q79</f>
        <v>154.29423600000001</v>
      </c>
    </row>
    <row r="80" spans="1:17" x14ac:dyDescent="0.35">
      <c r="A80" s="4" t="s">
        <v>166</v>
      </c>
      <c r="B80" s="2" t="s">
        <v>227</v>
      </c>
      <c r="C80" s="7" t="str">
        <f>'Master table catch from report'!C80</f>
        <v>Certified</v>
      </c>
      <c r="D80" s="7" t="str">
        <f>'Master table catch from report'!D80</f>
        <v>Hooks And Lines - Longlines: Pelagic longline</v>
      </c>
      <c r="E80" s="1">
        <f>'Master table catch from report'!E80</f>
        <v>10029.1</v>
      </c>
      <c r="F80" s="1">
        <f>'Master table catch from report'!F80</f>
        <v>0</v>
      </c>
      <c r="G80" s="1">
        <f>'Master table catch from report'!G80</f>
        <v>0</v>
      </c>
      <c r="H80" s="1">
        <f>'Master table catch from report'!H80</f>
        <v>0</v>
      </c>
      <c r="I80" s="1">
        <f>'Master table catch from report'!I80</f>
        <v>0</v>
      </c>
      <c r="J80" s="1">
        <f>'Master table catch from report'!J80</f>
        <v>0</v>
      </c>
      <c r="K80" s="1">
        <f>SUM('Master table adjusted WCPO'!$E80:$J80)</f>
        <v>10029.1</v>
      </c>
      <c r="L80" s="7">
        <f>'Master table catch from report'!L80</f>
        <v>2023</v>
      </c>
      <c r="M80" s="19">
        <f>'Master table catch from report'!M80</f>
        <v>46923</v>
      </c>
      <c r="N80" s="7" t="str">
        <f>'Master table catch from report'!N80</f>
        <v>Taiwan</v>
      </c>
      <c r="O80" s="7" t="str">
        <f>'Master table catch from report'!O80</f>
        <v>31 (Atlantic, Western Central), 34 (Atlantic, Eastern Central), 41 (Atlantic, Southwest), 47 (Atlantic, Southeast)</v>
      </c>
      <c r="P80" s="7">
        <f>'Master table catch from report'!P80</f>
        <v>16.982778</v>
      </c>
      <c r="Q80" s="7">
        <f>'Master table catch from report'!Q80</f>
        <v>-36.930833</v>
      </c>
    </row>
    <row r="81" spans="1:17" x14ac:dyDescent="0.35">
      <c r="A81" s="3" t="s">
        <v>136</v>
      </c>
      <c r="B81" s="8" t="s">
        <v>92</v>
      </c>
      <c r="C81" s="7" t="str">
        <f>'Master table catch from report'!C81</f>
        <v>Certified</v>
      </c>
      <c r="D81" s="7" t="str">
        <f>'Master table catch from report'!D81</f>
        <v>Hooks And Lines: Pelagic longline</v>
      </c>
      <c r="E81" s="1">
        <f>'Master table catch from report'!E81</f>
        <v>93</v>
      </c>
      <c r="F81" s="1">
        <f>'Master table catch from report'!F81</f>
        <v>0</v>
      </c>
      <c r="G81" s="1">
        <f>'Master table catch from report'!G81</f>
        <v>0</v>
      </c>
      <c r="H81" s="1">
        <f>'Master table catch from report'!H81</f>
        <v>0</v>
      </c>
      <c r="I81" s="1">
        <f>'Master table catch from report'!I81</f>
        <v>0</v>
      </c>
      <c r="J81" s="1">
        <f>'Master table catch from report'!J81</f>
        <v>550</v>
      </c>
      <c r="K81" s="1">
        <f>SUM('Master table adjusted WCPO'!$E81:$J81)</f>
        <v>643</v>
      </c>
      <c r="L81" s="7">
        <f>'Master table catch from report'!L81</f>
        <v>2018</v>
      </c>
      <c r="M81" s="19">
        <f>'Master table catch from report'!M81</f>
        <v>47162</v>
      </c>
      <c r="N81" s="7" t="str">
        <f>'Master table catch from report'!N81</f>
        <v>United States of America</v>
      </c>
      <c r="O81" s="7" t="str">
        <f>'Master table catch from report'!O81</f>
        <v>21 (Atlantic, Northwest), 31 (Atlantic, Western Central)</v>
      </c>
      <c r="P81" s="7">
        <f>'Master table catch from report'!P81</f>
        <v>34.9</v>
      </c>
      <c r="Q81" s="7">
        <f>'Master table catch from report'!Q81</f>
        <v>-71.8</v>
      </c>
    </row>
    <row r="82" spans="1:17" x14ac:dyDescent="0.35">
      <c r="A82" s="4" t="s">
        <v>144</v>
      </c>
      <c r="B82" s="2" t="s">
        <v>94</v>
      </c>
      <c r="C82" s="7" t="str">
        <f>'Master table catch from report'!C82</f>
        <v>Certified</v>
      </c>
      <c r="D82" s="7" t="str">
        <f>'Master table catch from report'!D82</f>
        <v>Surrounding Nets - With purse lines (purse seines)</v>
      </c>
      <c r="E82" s="1"/>
      <c r="F82" s="1"/>
      <c r="G82" s="1">
        <f>'Master table catch from report'!$G82*0.86</f>
        <v>4006.74</v>
      </c>
      <c r="H82" s="1">
        <f>'Master table catch from report'!$H82*0.86</f>
        <v>49428.671999999999</v>
      </c>
      <c r="I82" s="1">
        <f>'Master table catch from report'!I82</f>
        <v>0</v>
      </c>
      <c r="J82" s="1">
        <f>'Master table catch from report'!$J82*0.86</f>
        <v>7879.6639999999998</v>
      </c>
      <c r="K82" s="1">
        <f>SUM('Master table adjusted WCPO'!$E82:$J82)</f>
        <v>61315.075999999994</v>
      </c>
      <c r="L82" s="7">
        <f>'Master table catch from report'!L82</f>
        <v>2023</v>
      </c>
      <c r="M82" s="19">
        <f>'Master table catch from report'!M82</f>
        <v>46575</v>
      </c>
      <c r="N82" s="7" t="str">
        <f>'Master table catch from report'!N82</f>
        <v>United States</v>
      </c>
      <c r="O82" s="7" t="str">
        <f>'Master table catch from report'!O82</f>
        <v>71 (Pacific, Western Central), 77 (Pacific, Eastern Central)</v>
      </c>
      <c r="P82" s="7">
        <f>'Master table catch from report'!P82</f>
        <v>-40.4</v>
      </c>
      <c r="Q82" s="7">
        <f>'Master table catch from report'!Q82</f>
        <v>-155.5</v>
      </c>
    </row>
    <row r="83" spans="1:17" x14ac:dyDescent="0.35">
      <c r="A83" s="17" t="s">
        <v>144</v>
      </c>
      <c r="B83" s="18" t="s">
        <v>94</v>
      </c>
      <c r="C83" s="7" t="str">
        <f>'Master table catch from report'!C83</f>
        <v>In Assessment</v>
      </c>
      <c r="D83" s="7" t="str">
        <f>'Master table catch from report'!D83</f>
        <v>Surrounding Nets - With purse lines (purse seines)</v>
      </c>
      <c r="E83" s="1">
        <f>'Master table catch from report'!E83</f>
        <v>0</v>
      </c>
      <c r="F83" s="1">
        <f>'Master table catch from report'!F83</f>
        <v>0</v>
      </c>
      <c r="G83" s="1">
        <f>'Master table catch from report'!G83</f>
        <v>3480</v>
      </c>
      <c r="H83" s="1">
        <f>'Master table catch from report'!H83</f>
        <v>0</v>
      </c>
      <c r="I83" s="1">
        <f>'Master table catch from report'!I83</f>
        <v>0</v>
      </c>
      <c r="J83" s="1">
        <f>'Master table catch from report'!J83</f>
        <v>0</v>
      </c>
      <c r="K83" s="1">
        <f>SUM('Master table adjusted WCPO'!$E83:$J83)</f>
        <v>3480</v>
      </c>
      <c r="L83" s="7">
        <f>'Master table catch from report'!L83</f>
        <v>2023</v>
      </c>
      <c r="M83" s="19">
        <f>'Master table catch from report'!M83</f>
        <v>46575</v>
      </c>
      <c r="N83" s="7" t="str">
        <f>'Master table catch from report'!N83</f>
        <v>United States</v>
      </c>
      <c r="O83" s="7" t="str">
        <f>'Master table catch from report'!O83</f>
        <v>71 (Pacific, Western Central), 77 (Pacific, Eastern Central)</v>
      </c>
      <c r="P83" s="7">
        <f>'Master table catch from report'!P83</f>
        <v>-40.4</v>
      </c>
      <c r="Q83" s="7">
        <f>'Master table catch from report'!Q83</f>
        <v>-155.5</v>
      </c>
    </row>
    <row r="84" spans="1:17" x14ac:dyDescent="0.35">
      <c r="A84" s="6" t="s">
        <v>137</v>
      </c>
      <c r="B84" s="11" t="s">
        <v>95</v>
      </c>
      <c r="C84" s="7" t="str">
        <f>'Master table catch from report'!C84</f>
        <v>Certified</v>
      </c>
      <c r="D84" s="7" t="str">
        <f>'Master table catch from report'!D84</f>
        <v>Hooks And Lines - Longlines: Pelagic longline</v>
      </c>
      <c r="E84" s="1">
        <f>'Master table catch from report'!E84</f>
        <v>0</v>
      </c>
      <c r="F84" s="1">
        <f>'Master table catch from report'!F84</f>
        <v>71.44</v>
      </c>
      <c r="G84" s="1">
        <f>'Master table catch from report'!G84</f>
        <v>0</v>
      </c>
      <c r="H84" s="1">
        <f>'Master table catch from report'!H84</f>
        <v>0</v>
      </c>
      <c r="I84" s="1">
        <f>'Master table catch from report'!I84</f>
        <v>0</v>
      </c>
      <c r="J84" s="1">
        <f>'Master table catch from report'!J84</f>
        <v>0</v>
      </c>
      <c r="K84" s="1">
        <f>SUM('Master table adjusted WCPO'!$E84:$J84)</f>
        <v>71.44</v>
      </c>
      <c r="L84" s="7">
        <f>'Master table catch from report'!L84</f>
        <v>2023</v>
      </c>
      <c r="M84" s="19">
        <f>'Master table catch from report'!M84</f>
        <v>46062</v>
      </c>
      <c r="N84" s="7" t="str">
        <f>'Master table catch from report'!N84</f>
        <v>Japan</v>
      </c>
      <c r="O84" s="7" t="str">
        <f>'Master table catch from report'!O84</f>
        <v>27 (Atlantic, Northeast)</v>
      </c>
      <c r="P84" s="7">
        <f>'Master table catch from report'!P84</f>
        <v>57</v>
      </c>
      <c r="Q84" s="7">
        <f>'Master table catch from report'!Q84</f>
        <v>-25</v>
      </c>
    </row>
    <row r="85" spans="1:17" x14ac:dyDescent="0.35">
      <c r="A85" s="3" t="s">
        <v>138</v>
      </c>
      <c r="B85" s="8" t="s">
        <v>97</v>
      </c>
      <c r="C85" s="7" t="str">
        <f>'Master table catch from report'!C85</f>
        <v>Certified</v>
      </c>
      <c r="D85" s="7" t="str">
        <f>'Master table catch from report'!D85</f>
        <v>Surrounding Nets - With purse lines (purse seines)</v>
      </c>
      <c r="E85" s="1">
        <f>'Master table catch from report'!E85</f>
        <v>0</v>
      </c>
      <c r="F85" s="1">
        <f>'Master table catch from report'!F85</f>
        <v>0</v>
      </c>
      <c r="G85" s="1">
        <f>'Master table catch from report'!G85</f>
        <v>3152</v>
      </c>
      <c r="H85" s="1">
        <f>'Master table catch from report'!H85</f>
        <v>39523.334000000003</v>
      </c>
      <c r="I85" s="1">
        <f>'Master table catch from report'!I85</f>
        <v>0</v>
      </c>
      <c r="J85" s="1">
        <f>'Master table catch from report'!J85</f>
        <v>10552</v>
      </c>
      <c r="K85" s="1">
        <f>SUM('Master table adjusted WCPO'!$E85:$J85)</f>
        <v>53227.334000000003</v>
      </c>
      <c r="L85" s="7">
        <f>'Master table catch from report'!L85</f>
        <v>2024</v>
      </c>
      <c r="M85" s="19">
        <f>'Master table catch from report'!M85</f>
        <v>47107</v>
      </c>
      <c r="N85" s="7" t="str">
        <f>'Master table catch from report'!N85</f>
        <v>China</v>
      </c>
      <c r="O85" s="7" t="str">
        <f>'Master table catch from report'!O85</f>
        <v>71 (Pacific, Western Central), 77 (Pacific, Eastern Central)</v>
      </c>
      <c r="P85" s="7">
        <f>'Master table catch from report'!P85</f>
        <v>0</v>
      </c>
      <c r="Q85" s="7">
        <f>'Master table catch from report'!Q85</f>
        <v>162.68899999999999</v>
      </c>
    </row>
  </sheetData>
  <hyperlinks>
    <hyperlink ref="B2" r:id="rId1" display="AAFA &amp; WFOA North Pacific Albacore troll" xr:uid="{E8716DD2-1C14-4CA0-9BA9-9FC11B312658}"/>
    <hyperlink ref="B3" r:id="rId2" display="AAFA &amp; WFOA South Pacific Albacore troll" xr:uid="{D9DEB954-6AA2-42D6-B959-1E7E59F72557}"/>
    <hyperlink ref="B19" r:id="rId3" xr:uid="{2AA6A2A4-8C69-40B6-9196-33A746FFD209}"/>
    <hyperlink ref="B55" r:id="rId4" xr:uid="{F083BEB8-DFE9-4FBC-925A-7A28AFBE05A0}"/>
    <hyperlink ref="B74" r:id="rId5" xr:uid="{DF49E265-A0E5-4009-BC7A-26D9DD84FE15}"/>
    <hyperlink ref="B45" r:id="rId6" display="Japanese Pole and Line Skipjack and Albacore Tuna Fishery" xr:uid="{B0E23052-F469-477B-9AF6-8A5AC87BC9DB}"/>
    <hyperlink ref="B11" r:id="rId7" display="American Samoa EEZ Albacore and Yellowfin Longline Fishery" xr:uid="{2656E5AD-8ACB-4350-9FAC-CF4521ABBE56}"/>
    <hyperlink ref="B36" r:id="rId8" display="French Polynesia albacore and yellowfin longline fishery" xr:uid="{A2936897-C0B6-46B3-8491-8F306A72660B}"/>
    <hyperlink ref="B49" r:id="rId9" xr:uid="{C04800F6-C714-4B93-A02C-85AA33F1809C}"/>
    <hyperlink ref="B16" r:id="rId10" display="Australian Eastern Tuna and Billfish Fishery" xr:uid="{965FE17F-F765-41E1-9FCF-C61C68D23BEB}"/>
    <hyperlink ref="B58" r:id="rId11" display="Owasebussan North Pacific albacore, bigeye and yellowfin longline" xr:uid="{ADDF908D-9B3D-488E-9887-DC570BA69032}"/>
    <hyperlink ref="B50" r:id="rId12" xr:uid="{DABE7AC5-82E7-4FC6-A0A9-3C45E7448956}"/>
    <hyperlink ref="B4" r:id="rId13" xr:uid="{FD3B54B9-EDC4-4457-96B4-2B08C8B804F8}"/>
    <hyperlink ref="B52" r:id="rId14" xr:uid="{4D803756-A0AA-4233-A9A8-69CA5AFE0278}"/>
    <hyperlink ref="B61" r:id="rId15" display="PNA Western and Central Pacific skipjack tuna" xr:uid="{513E0F4A-40DE-4D5B-85B1-2A4EF88739ED}"/>
    <hyperlink ref="B78" r:id="rId16" display="Tri Marine WCPO purse seine skipjack and yellowfin tuna" xr:uid="{8927139B-DA81-4382-9B14-6E8AE18B8388}"/>
    <hyperlink ref="B62" r:id="rId17" xr:uid="{D121EB86-0AB4-45E7-9363-A4CB4102CAAF}"/>
    <hyperlink ref="B23" r:id="rId18" xr:uid="{1CE2C85B-F97B-45C9-8720-49789D98273F}"/>
    <hyperlink ref="B44" r:id="rId19" display="Indonesia pole-and-line and handline, skipjack and yellowfin tuna" xr:uid="{2B305C29-4B52-4781-9C8D-56C28B60DE4E}"/>
    <hyperlink ref="B53" r:id="rId20" xr:uid="{4C954AE0-FC83-4013-A7E5-139471A00649}"/>
    <hyperlink ref="B32" r:id="rId21" xr:uid="{BF6D7F13-2CD9-4B7A-8144-CE2BFFFABF6E}"/>
    <hyperlink ref="B34" r:id="rId22" display="Eastern Pacific Purse Seine Skipjack and Yellowfin tuna fishery" xr:uid="{5DA20FC4-A5D4-4E09-9ABB-0F3A27364BB4}"/>
    <hyperlink ref="B35" r:id="rId23" display="Fiji albacore, yellowfin and bigey tuna longline" xr:uid="{C0315C67-B8FC-4290-94EB-D02563B80532}"/>
    <hyperlink ref="B12" r:id="rId24" display="ANABAC Atlantic Unassociated Purse Seine Yellowfin Tuna Fishery" xr:uid="{32A88260-793B-4B3D-A7BE-E54227D812CE}"/>
    <hyperlink ref="B60" r:id="rId25" display="Philippine Small-Scale Yellowfin Tuna Handline Fishery" xr:uid="{F42B5F22-8BA0-47B0-9A72-046B1E7124D7}"/>
    <hyperlink ref="B42" r:id="rId26" display="https://fisheries.msc.org/en/fisheries/hawaii-longline-swordfish-bigeye-and-yellowfin-tuna-fishery/" xr:uid="{37644935-1536-4DC8-A81B-15B7AC9D9EEC}"/>
    <hyperlink ref="B81" r:id="rId27" tooltip="US North Atlantic swordfish, yellowfin, and albacore tuna fishery" display="https://fisheries.msc.org/en/fisheries/us-north-atlantic-swordfish-yellowfin-and-albacore-tuna-fishery/@@view" xr:uid="{4BE222E8-0800-4AAD-86A3-AF0F453772A9}"/>
    <hyperlink ref="B5" r:id="rId28" xr:uid="{7330B3BE-DB78-4A23-85AD-46CC4915812E}"/>
    <hyperlink ref="B6" r:id="rId29" xr:uid="{C727C27D-6576-4368-A1F3-B7874BDC478E}"/>
    <hyperlink ref="B82" r:id="rId30" display="https://fisheries.msc.org/en/fisheries/us-pacific-tuna-group-purse-seine-fsc-and-fad-set-fishery/" xr:uid="{43AB49E0-20BC-447A-8E74-AB30733C2D78}"/>
    <hyperlink ref="B54" r:id="rId31" display="https://fisheries.msc.org/en/fisheries/nauru-skipjack-yellowfin-and-bigeye-tuna-purse-seine-fishery/" xr:uid="{6CC4141C-7FB7-4FF6-92E6-8162B2884D04}"/>
    <hyperlink ref="B76" r:id="rId32" display="https://fisheries.msc.org/en/fisheries/tri-marine-atlantic-albacore-longline-fishery/" xr:uid="{30839FFF-1A0B-4828-B201-785DCE6E82DA}"/>
    <hyperlink ref="B84" r:id="rId33" display="https://fisheries.msc.org/en/fisheries/usufuku-honten-northeast-atlantic-longline-bluefin-tuna-fishery/@@view" xr:uid="{5F9ABEB4-8CDF-4102-B842-AD5F8459EE78}"/>
    <hyperlink ref="B64" r:id="rId34" display="https://fisheries.msc.org/en/fisheries/sathoan-french-mediterranean-bluefin-tuna-artisanal-longline-and-handline-fishery/" xr:uid="{3844D6ED-D909-443A-8825-22CFCEB5B402}"/>
    <hyperlink ref="B46" r:id="rId35" display="https://fisheries.msc.org/en/fisheries/jc-mackintoshs-greenstick-handline-and-fishing-rod-bluefin-tuna-fishery/@@view" xr:uid="{186AE7EA-BB79-4BC7-991B-5752E6C16E8D}"/>
    <hyperlink ref="B77" r:id="rId36" xr:uid="{D38A3B46-B5FE-42D1-8D37-8FDD9ECF3DA6}"/>
    <hyperlink ref="B65" r:id="rId37" display="https://fisheries.msc.org/en/fisheries/si-wcpo-skipjack-and-yellowfin-tuna-purse-seine-fishery/" xr:uid="{71FCF5BF-0597-41BF-BC28-C48EE39E8178}"/>
    <hyperlink ref="B38" r:id="rId38" xr:uid="{499BFFCA-C311-4336-9A97-B972DC49F863}"/>
    <hyperlink ref="B79" r:id="rId39" xr:uid="{B9F1E8B7-8E85-4081-B01F-7006E1D97594}"/>
    <hyperlink ref="B26" r:id="rId40" xr:uid="{9559EE01-A33F-42EC-BC10-750FF3001457}"/>
    <hyperlink ref="B80" r:id="rId41" xr:uid="{00062F99-F950-4E26-860D-BF09559D0CEC}"/>
    <hyperlink ref="B47" r:id="rId42" xr:uid="{A1CE62AF-0E00-4888-8D41-026D6B7E9197}"/>
    <hyperlink ref="B68" r:id="rId43" display="NFD Solomon Islands free school and FAD purse seine skipjack tuna" xr:uid="{910B82DD-3AAC-420B-8681-D0ADD03341BF}"/>
    <hyperlink ref="B9" r:id="rId44" xr:uid="{85A134DF-7BC9-44B4-AAA9-20B1777F6FA8}"/>
    <hyperlink ref="B10" r:id="rId45" xr:uid="{3283000D-8EAD-4E46-8B35-034131A97CCB}"/>
    <hyperlink ref="B57" r:id="rId46" xr:uid="{AB623C3E-EC41-42CD-9843-2310CEE2FEE2}"/>
    <hyperlink ref="B37" r:id="rId47" xr:uid="{0B7117E7-9934-40CA-B424-03D605885302}"/>
    <hyperlink ref="B51" r:id="rId48" xr:uid="{A1F00010-CC68-48FB-A846-2B33608C8781}"/>
    <hyperlink ref="B67" r:id="rId49" xr:uid="{4D32DB08-BF34-4F24-B1FB-B5A66F91C61A}"/>
    <hyperlink ref="B66" r:id="rId50" xr:uid="{CA8A15BE-B1D7-45C2-94A6-C6D6CDEDB0E5}"/>
    <hyperlink ref="B14" r:id="rId51" xr:uid="{4160CAF5-20BB-4A12-B655-22B1D0A4E1C3}"/>
    <hyperlink ref="B13" r:id="rId52" xr:uid="{A27E0812-A024-47AD-93D8-C0D9E5AA3EDC}"/>
    <hyperlink ref="B15" r:id="rId53" display="Atún Sostenible Tropical Pacific Yellowfin and Skipjack Purse Seine Tuna Fishery" xr:uid="{03909791-35F0-4EBF-AF77-9FE5DF544442}"/>
    <hyperlink ref="B59" r:id="rId54" xr:uid="{D40207DC-C3E7-4228-969E-368930823C2A}"/>
    <hyperlink ref="B24" r:id="rId55" xr:uid="{AAE38F65-62F7-445A-B1F7-87D170112D7B}"/>
    <hyperlink ref="B75" r:id="rId56" xr:uid="{FAB3EC20-DA27-4BA3-938F-2B35EC129C32}"/>
    <hyperlink ref="B21" r:id="rId57" xr:uid="{DF619C42-9DBF-4F2D-B0D8-80B212A8AE35}"/>
    <hyperlink ref="B63" r:id="rId58" xr:uid="{2111A8A5-A5E1-4C36-9AB3-32C3FA7B63E7}"/>
    <hyperlink ref="B31" r:id="rId59" xr:uid="{686350D4-3137-4FC6-8DCF-541D25ED121B}"/>
    <hyperlink ref="B20" r:id="rId60" xr:uid="{3C3BB170-9500-4C06-BE83-2FD84F2127F4}"/>
    <hyperlink ref="B71" r:id="rId61" display="FSM EEZ yellowfin and bigeye tuna longline" xr:uid="{DB3F6D04-7419-4EA8-B2C9-C3AB78ED7D99}"/>
    <hyperlink ref="B70" r:id="rId62" xr:uid="{C584E597-594A-4DF4-ACEC-6504F78481EA}"/>
    <hyperlink ref="B69" r:id="rId63" xr:uid="{7BF7ABBB-18E6-4FBC-8564-3E8F96B3DD91}"/>
    <hyperlink ref="B56" r:id="rId64" xr:uid="{7EA19668-7829-4FF2-A706-CB66D309D363}"/>
    <hyperlink ref="B72" r:id="rId65" display="FSM EEZ yellowfin and bigeye tuna longline" xr:uid="{01DB01F2-854E-4827-9A24-589D5B63BDC9}"/>
    <hyperlink ref="B17" r:id="rId66" xr:uid="{3F24E37B-663F-47AD-8A3A-E792D986CBD9}"/>
    <hyperlink ref="B22" r:id="rId67" xr:uid="{8222D408-660D-49A2-AD3C-4E913DD11F69}"/>
    <hyperlink ref="B18" r:id="rId68" xr:uid="{3A02439B-73B2-487E-8181-B62D5869004C}"/>
    <hyperlink ref="B41" r:id="rId69" xr:uid="{E8423582-C332-4AED-81FE-F2A0B0E684D6}"/>
    <hyperlink ref="B40" r:id="rId70" xr:uid="{926FC3CC-90B5-4460-A561-71612B3BBB9B}"/>
    <hyperlink ref="B83" r:id="rId71" display="https://fisheries.msc.org/en/fisheries/us-pacific-tuna-group-purse-seine-fsc-and-fad-set-fishery/" xr:uid="{994430F2-84B9-44D5-AF58-490D9B9D54D3}"/>
    <hyperlink ref="B39" r:id="rId72" xr:uid="{1395A623-DEC6-4354-A354-1801DA488AFE}"/>
    <hyperlink ref="B33" r:id="rId73" xr:uid="{F3F99114-1785-43BB-B8B0-924303CBFA0A}"/>
    <hyperlink ref="B28" r:id="rId74" display="Pan Pacific yellowfin, bigeye and albacore longline fishery" xr:uid="{F301F26F-6B98-4036-9C91-D6DEB8A1D4E6}"/>
    <hyperlink ref="B29" r:id="rId75" display="Tropical Pacific yellowfin and skipjack free-school purse seine fishery" xr:uid="{2DB31B83-F142-40B3-A66A-BE01D1CEF818}"/>
    <hyperlink ref="B30" r:id="rId76" display="Tropical Pacific yellowfin and skipjack free-school purse seine fishery" xr:uid="{B56BC9FA-2244-4D8E-8415-B623F483E34B}"/>
    <hyperlink ref="B73" r:id="rId77" display="SZLC CSFC FZLC &amp; MIFV RMI EEZ Longline Yellowfin and Bigeye Tuna" xr:uid="{739C3D34-4DFE-4454-8A1D-F15752928E33}"/>
    <hyperlink ref="B7" r:id="rId78" xr:uid="{A7D60934-B51A-4A41-9E57-FC46CF1CE240}"/>
    <hyperlink ref="B48" r:id="rId79" xr:uid="{97363B87-7AEB-4037-BFE5-67DE0D9C4D95}"/>
    <hyperlink ref="B43" r:id="rId80" xr:uid="{8E1ACE1D-3E88-4852-AE3B-BE77D1C84176}"/>
    <hyperlink ref="B25" r:id="rId81" display="Dakartuna Atlantic pole and line tuna fishery " xr:uid="{E48C9E9F-2DCA-4EDB-8DEB-17778A38A020}"/>
    <hyperlink ref="B27" r:id="rId82" xr:uid="{768F8315-2751-4D18-AADE-91EB8965AF3B}"/>
    <hyperlink ref="B85" r:id="rId83" display="WPSTA Western and Central Pacific Skipjack and Yellowfin  Purse Seine Fishery" xr:uid="{199D5A5B-A8E8-4134-9B8A-21E0E54176FD}"/>
    <hyperlink ref="B8" r:id="rId84" xr:uid="{CBB1E6B2-95CA-4830-87A6-823FDA34FF37}"/>
  </hyperlinks>
  <pageMargins left="0.7" right="0.7" top="0.75" bottom="0.75" header="0.3" footer="0.3"/>
  <legacyDrawing r:id="rId85"/>
  <tableParts count="1">
    <tablePart r:id="rId86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242b3f222694370b37a2a251da74707 xmlns="230c30b3-5bf2-4424-b964-6b55c85701d3">
      <Terms xmlns="http://schemas.microsoft.com/office/infopath/2007/PartnerControls"/>
    </e242b3f222694370b37a2a251da74707>
    <Year xmlns="230c30b3-5bf2-4424-b964-6b55c85701d3">2020-2021</Year>
    <Q_x0020_Month xmlns="230c30b3-5bf2-4424-b964-6b55c85701d3" xsi:nil="true"/>
    <_dlc_DocId xmlns="230c30b3-5bf2-4424-b964-6b55c85701d3">MSCOUTREACH-1274542805-18372</_dlc_DocId>
    <TaxCatchAll xmlns="230c30b3-5bf2-4424-b964-6b55c85701d3" xsi:nil="true"/>
    <Meeting_x0020_Date xmlns="230c30b3-5bf2-4424-b964-6b55c85701d3" xsi:nil="true"/>
    <IconOverlay xmlns="http://schemas.microsoft.com/sharepoint/v4" xsi:nil="true"/>
    <lc2ee1b5168640739c6af8be6b9c1c4b xmlns="230c30b3-5bf2-4424-b964-6b55c85701d3">
      <Terms xmlns="http://schemas.microsoft.com/office/infopath/2007/PartnerControls"/>
    </lc2ee1b5168640739c6af8be6b9c1c4b>
    <b49947ffe1b84f9790a0de64dfa228a4 xmlns="230c30b3-5bf2-4424-b964-6b55c85701d3">
      <Terms xmlns="http://schemas.microsoft.com/office/infopath/2007/PartnerControls"/>
    </b49947ffe1b84f9790a0de64dfa228a4>
    <_dlc_DocIdUrl xmlns="230c30b3-5bf2-4424-b964-6b55c85701d3">
      <Url>https://marinestewardshipcouncil.sharepoint.com/sites/outreach/_layouts/15/DocIdRedir.aspx?ID=MSCOUTREACH-1274542805-18372</Url>
      <Description>MSCOUTREACH-1274542805-18372</Description>
    </_dlc_DocIdUrl>
    <lcf76f155ced4ddcb4097134ff3c332f xmlns="14861c3e-89c8-41a6-b516-11bdd9f9b98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Outreach Document" ma:contentTypeID="0x010100BAC41A1A34208A42BE102A7EF446F4F80000AC4C59BEF18D4C8E928A346C2DA587" ma:contentTypeVersion="27" ma:contentTypeDescription="" ma:contentTypeScope="" ma:versionID="bb69a7a765ae42c719d35739d9f7e280">
  <xsd:schema xmlns:xsd="http://www.w3.org/2001/XMLSchema" xmlns:xs="http://www.w3.org/2001/XMLSchema" xmlns:p="http://schemas.microsoft.com/office/2006/metadata/properties" xmlns:ns2="230c30b3-5bf2-4424-b964-6b55c85701d3" xmlns:ns3="14861c3e-89c8-41a6-b516-11bdd9f9b98c" xmlns:ns4="http://schemas.microsoft.com/sharepoint/v4" targetNamespace="http://schemas.microsoft.com/office/2006/metadata/properties" ma:root="true" ma:fieldsID="5a4a10c9d6d6df8273f74d7bfcf76046" ns2:_="" ns3:_="" ns4:_="">
    <xsd:import namespace="230c30b3-5bf2-4424-b964-6b55c85701d3"/>
    <xsd:import namespace="14861c3e-89c8-41a6-b516-11bdd9f9b98c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Meeting_x0020_Date" minOccurs="0"/>
                <xsd:element ref="ns2:Q_x0020_Month" minOccurs="0"/>
                <xsd:element ref="ns2:Year" minOccurs="0"/>
                <xsd:element ref="ns2:b49947ffe1b84f9790a0de64dfa228a4" minOccurs="0"/>
                <xsd:element ref="ns2:TaxCatchAll" minOccurs="0"/>
                <xsd:element ref="ns2:TaxCatchAllLabel" minOccurs="0"/>
                <xsd:element ref="ns2:lc2ee1b5168640739c6af8be6b9c1c4b" minOccurs="0"/>
                <xsd:element ref="ns2:e242b3f222694370b37a2a251da74707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2:_dlc_DocId" minOccurs="0"/>
                <xsd:element ref="ns2:_dlc_DocIdUrl" minOccurs="0"/>
                <xsd:element ref="ns2:_dlc_DocIdPersistId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IconOverlay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c30b3-5bf2-4424-b964-6b55c85701d3" elementFormDefault="qualified">
    <xsd:import namespace="http://schemas.microsoft.com/office/2006/documentManagement/types"/>
    <xsd:import namespace="http://schemas.microsoft.com/office/infopath/2007/PartnerControls"/>
    <xsd:element name="Meeting_x0020_Date" ma:index="4" nillable="true" ma:displayName="Meeting Date" ma:format="DateOnly" ma:indexed="true" ma:internalName="Meeting_x0020_Date">
      <xsd:simpleType>
        <xsd:restriction base="dms:DateTime"/>
      </xsd:simpleType>
    </xsd:element>
    <xsd:element name="Q_x0020_Month" ma:index="5" nillable="true" ma:displayName="Q Month" ma:format="Dropdown" ma:internalName="Q_x0020_Month">
      <xsd:simpleType>
        <xsd:restriction base="dms:Choice">
          <xsd:enumeration value="Q1"/>
          <xsd:enumeration value="1. April"/>
          <xsd:enumeration value="2. May"/>
          <xsd:enumeration value="3. June"/>
          <xsd:enumeration value="Q2"/>
          <xsd:enumeration value="4. July"/>
          <xsd:enumeration value="5. August"/>
          <xsd:enumeration value="6. September"/>
          <xsd:enumeration value="Q3"/>
          <xsd:enumeration value="7. October"/>
          <xsd:enumeration value="8. November"/>
          <xsd:enumeration value="9. December"/>
          <xsd:enumeration value="Q4"/>
          <xsd:enumeration value="10. January"/>
          <xsd:enumeration value="11. February"/>
          <xsd:enumeration value="12. March"/>
        </xsd:restriction>
      </xsd:simpleType>
    </xsd:element>
    <xsd:element name="Year" ma:index="6" nillable="true" ma:displayName="Year" ma:default="2020-2021" ma:format="Dropdown" ma:internalName="Year">
      <xsd:simpleType>
        <xsd:restriction base="dms:Choice">
          <xsd:enumeration value="2009"/>
          <xsd:enumeration value="2011"/>
          <xsd:enumeration value="2012"/>
          <xsd:enumeration value="2013"/>
          <xsd:enumeration value="2013-2014"/>
          <xsd:enumeration value="2014"/>
          <xsd:enumeration value="2014-2015"/>
          <xsd:enumeration value="2015"/>
          <xsd:enumeration value="2015-2016"/>
          <xsd:enumeration value="2016"/>
          <xsd:enumeration value="2016-2017"/>
          <xsd:enumeration value="2017"/>
          <xsd:enumeration value="2017-2018"/>
          <xsd:enumeration value="2018"/>
          <xsd:enumeration value="2018-2019"/>
          <xsd:enumeration value="2019"/>
          <xsd:enumeration value="2019-2020"/>
          <xsd:enumeration value="2020"/>
          <xsd:enumeration value="2020-2021"/>
          <xsd:enumeration value="2021"/>
          <xsd:enumeration value="2021-2022"/>
          <xsd:enumeration value="2022"/>
          <xsd:enumeration value="2022-2023"/>
          <xsd:enumeration value="2023"/>
          <xsd:enumeration value="2023-2024"/>
          <xsd:enumeration value="2024"/>
        </xsd:restriction>
      </xsd:simpleType>
    </xsd:element>
    <xsd:element name="b49947ffe1b84f9790a0de64dfa228a4" ma:index="8" nillable="true" ma:taxonomy="true" ma:internalName="b49947ffe1b84f9790a0de64dfa228a4" ma:taxonomyFieldName="MSC_x0020_Location" ma:displayName="MSC Location" ma:default="" ma:fieldId="{b49947ff-e1b8-4f97-90a0-de64dfa228a4}" ma:sspId="1b199611-8856-41f6-9a1b-e76f78ab8edd" ma:termSetId="6fed0f4b-0e9b-4910-a0d8-a7f1207b951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description="" ma:hidden="true" ma:list="{326ddb67-7561-45d9-bb13-5d2d8ab8f5b1}" ma:internalName="TaxCatchAll" ma:showField="CatchAllData" ma:web="230c30b3-5bf2-4424-b964-6b55c85701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description="" ma:hidden="true" ma:list="{326ddb67-7561-45d9-bb13-5d2d8ab8f5b1}" ma:internalName="TaxCatchAllLabel" ma:readOnly="true" ma:showField="CatchAllDataLabel" ma:web="230c30b3-5bf2-4424-b964-6b55c85701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c2ee1b5168640739c6af8be6b9c1c4b" ma:index="14" nillable="true" ma:taxonomy="true" ma:internalName="lc2ee1b5168640739c6af8be6b9c1c4b" ma:taxonomyFieldName="Outreach_x0020_Doc_x0020_Type" ma:displayName="Outreach Doc Type" ma:indexed="true" ma:default="" ma:fieldId="{5c2ee1b5-1686-4073-9c6a-f8be6b9c1c4b}" ma:sspId="1b199611-8856-41f6-9a1b-e76f78ab8edd" ma:termSetId="a027094f-a348-4905-846d-9c38e25da0e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242b3f222694370b37a2a251da74707" ma:index="17" nillable="true" ma:taxonomy="true" ma:internalName="e242b3f222694370b37a2a251da74707" ma:taxonomyFieldName="Outreach_x0020_Category" ma:displayName="Outreach Category" ma:indexed="true" ma:default="" ma:fieldId="{e242b3f2-2269-4370-b37a-2a251da74707}" ma:sspId="1b199611-8856-41f6-9a1b-e76f78ab8edd" ma:termSetId="d064fb88-8834-4766-9621-b1d7b50354c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astSharedByUser" ma:index="19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20" nillable="true" ma:displayName="Last Shared By Time" ma:description="" ma:internalName="LastSharedByTime" ma:readOnly="true">
      <xsd:simpleType>
        <xsd:restriction base="dms:DateTime"/>
      </xsd:simpleType>
    </xsd:element>
    <xsd:element name="_dlc_DocId" ma:index="2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861c3e-89c8-41a6-b516-11bdd9f9b9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2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2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2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2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3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34" nillable="true" ma:displayName="Location" ma:internalName="MediaServiceLocation" ma:readOnly="true">
      <xsd:simpleType>
        <xsd:restriction base="dms:Text"/>
      </xsd:simpleType>
    </xsd:element>
    <xsd:element name="MediaLengthInSeconds" ma:index="3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37" nillable="true" ma:taxonomy="true" ma:internalName="lcf76f155ced4ddcb4097134ff3c332f" ma:taxonomyFieldName="MediaServiceImageTags" ma:displayName="Image Tags" ma:readOnly="false" ma:fieldId="{5cf76f15-5ced-4ddc-b409-7134ff3c332f}" ma:taxonomyMulti="true" ma:sspId="1b199611-8856-41f6-9a1b-e76f78ab8e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3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1E8D2CF1-3617-457B-8F05-6F0EAB95076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D06EFDB-8FCB-4D27-9ADC-86A03BE0471D}">
  <ds:schemaRefs>
    <ds:schemaRef ds:uri="14861c3e-89c8-41a6-b516-11bdd9f9b98c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  <ds:schemaRef ds:uri="http://schemas.microsoft.com/sharepoint/v4"/>
    <ds:schemaRef ds:uri="230c30b3-5bf2-4424-b964-6b55c85701d3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634DB1A-F6F2-4415-BE66-EFD31477D1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0c30b3-5bf2-4424-b964-6b55c85701d3"/>
    <ds:schemaRef ds:uri="14861c3e-89c8-41a6-b516-11bdd9f9b98c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ACA9D1BD-4107-49B3-9F37-9CC0DB3E13BE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Master table catch from report</vt:lpstr>
      <vt:lpstr>Master table adjusted WCPO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 McLeod</dc:creator>
  <cp:keywords/>
  <dc:description/>
  <cp:lastModifiedBy>Laura Rodriguez</cp:lastModifiedBy>
  <cp:revision/>
  <dcterms:created xsi:type="dcterms:W3CDTF">2015-06-05T18:17:20Z</dcterms:created>
  <dcterms:modified xsi:type="dcterms:W3CDTF">2025-03-25T10:47:23Z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utreach Doc Type">
    <vt:lpwstr/>
  </property>
  <property fmtid="{D5CDD505-2E9C-101B-9397-08002B2CF9AE}" pid="3" name="ContentTypeId">
    <vt:lpwstr>0x010100BAC41A1A34208A42BE102A7EF446F4F80000AC4C59BEF18D4C8E928A346C2DA587</vt:lpwstr>
  </property>
  <property fmtid="{D5CDD505-2E9C-101B-9397-08002B2CF9AE}" pid="4" name="Outreach Category">
    <vt:lpwstr/>
  </property>
  <property fmtid="{D5CDD505-2E9C-101B-9397-08002B2CF9AE}" pid="5" name="_dlc_DocIdItemGuid">
    <vt:lpwstr>99f41acc-75a0-4106-be0a-9f54d95abc5d</vt:lpwstr>
  </property>
  <property fmtid="{D5CDD505-2E9C-101B-9397-08002B2CF9AE}" pid="6" name="MSC Location">
    <vt:lpwstr/>
  </property>
  <property fmtid="{D5CDD505-2E9C-101B-9397-08002B2CF9AE}" pid="7" name="Outreach_x0020_Doc_x0020_Type">
    <vt:lpwstr/>
  </property>
  <property fmtid="{D5CDD505-2E9C-101B-9397-08002B2CF9AE}" pid="8" name="Outreach_x0020_Category">
    <vt:lpwstr/>
  </property>
  <property fmtid="{D5CDD505-2E9C-101B-9397-08002B2CF9AE}" pid="9" name="MSC_x0020_Location">
    <vt:lpwstr/>
  </property>
  <property fmtid="{D5CDD505-2E9C-101B-9397-08002B2CF9AE}" pid="10" name="MediaServiceImageTags">
    <vt:lpwstr/>
  </property>
</Properties>
</file>